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omments2.xml" ContentType="application/vnd.openxmlformats-officedocument.spreadsheetml.comments+xml"/>
  <Override PartName="/xl/tables/table7.xml" ContentType="application/vnd.openxmlformats-officedocument.spreadsheetml.table+xml"/>
  <Override PartName="/xl/comments3.xml" ContentType="application/vnd.openxmlformats-officedocument.spreadsheetml.comments+xml"/>
  <Override PartName="/xl/tables/table8.xml" ContentType="application/vnd.openxmlformats-officedocument.spreadsheetml.table+xml"/>
  <Override PartName="/xl/comments4.xml" ContentType="application/vnd.openxmlformats-officedocument.spreadsheetml.comments+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omments5.xml" ContentType="application/vnd.openxmlformats-officedocument.spreadsheetml.comments+xml"/>
  <Override PartName="/xl/comments6.xml" ContentType="application/vnd.openxmlformats-officedocument.spreadsheetml.comments+xml"/>
  <Override PartName="/xl/tables/table16.xml" ContentType="application/vnd.openxmlformats-officedocument.spreadsheetml.table+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showInkAnnotation="0" defaultThemeVersion="124226"/>
  <bookViews>
    <workbookView xWindow="0" yWindow="180" windowWidth="13740" windowHeight="7488"/>
  </bookViews>
  <sheets>
    <sheet name="MODEL" sheetId="24" r:id="rId1"/>
    <sheet name="Data &amp; assumptions" sheetId="23" r:id="rId2"/>
    <sheet name="FARMER  " sheetId="16" r:id="rId3"/>
    <sheet name="Group cohesion analysis" sheetId="22" r:id="rId4"/>
    <sheet name="Counterfactuals" sheetId="20" r:id="rId5"/>
    <sheet name="Farmer outcomes " sheetId="1" state="hidden" r:id="rId6"/>
    <sheet name="COMMUNITY" sheetId="9" r:id="rId7"/>
    <sheet name="Explanation" sheetId="21" r:id="rId8"/>
    <sheet name="HOTEL" sheetId="6" r:id="rId9"/>
    <sheet name="TRADER " sheetId="12" r:id="rId10"/>
    <sheet name="Drop down values" sheetId="13" r:id="rId11"/>
  </sheets>
  <externalReferences>
    <externalReference r:id="rId12"/>
  </externalReferences>
  <definedNames>
    <definedName name="_xlnm._FilterDatabase" localSheetId="6" hidden="1">COMMUNITY!$B$4:$J$34</definedName>
    <definedName name="_xlnm._FilterDatabase" localSheetId="4" hidden="1">Counterfactuals!$B$283:$E$344</definedName>
    <definedName name="_xlnm._FilterDatabase" localSheetId="7" hidden="1">Explanation!$B$3:$C$33</definedName>
    <definedName name="Age">'Drop down values'!$F$3:$F$6</definedName>
    <definedName name="CFtwo" comment="Counterfactual for farmer outcome 2">Counterfactuals!#REF!</definedName>
    <definedName name="Community_rating">'Drop down values'!$H$11:$H$14</definedName>
    <definedName name="Disability">'Drop down values'!$L$3:$L$5</definedName>
    <definedName name="Engagement_mode">'Drop down values'!$B$16:$B$17</definedName>
    <definedName name="Full_groups">'Drop down values'!$B$25:$B$74</definedName>
    <definedName name="Gender">'Drop down values'!$H$3:$H$4</definedName>
    <definedName name="Group_rating">'Drop down values'!$J$11:$J$15</definedName>
    <definedName name="Income_loss">'Drop down values'!$F$11:$F$12</definedName>
    <definedName name="Location">'Drop down values'!$D$16:$D$17</definedName>
    <definedName name="Member_no">'Drop down values'!$P$3:$P$5</definedName>
    <definedName name="Membership">'Drop down values'!$D$3:$D$4</definedName>
    <definedName name="Names">'Drop down values'!$B$3:$B$7</definedName>
    <definedName name="New_member">'Drop down values'!$J$3:$J$4</definedName>
    <definedName name="NEWNAMES">'Drop down values'!$B$3:$B$8</definedName>
    <definedName name="Phase">'Drop down values'!$B$11:$B$12</definedName>
    <definedName name="School_type">'Drop down values'!$F$16:$F$18</definedName>
    <definedName name="Time">'Drop down values'!$D$11:$D$12</definedName>
    <definedName name="Trader_location">'Drop down values'!$B$20:$B$22</definedName>
    <definedName name="WEDTF">'Drop down values'!$N$3:$N$4</definedName>
  </definedNames>
  <calcPr calcId="152511"/>
</workbook>
</file>

<file path=xl/calcChain.xml><?xml version="1.0" encoding="utf-8"?>
<calcChain xmlns="http://schemas.openxmlformats.org/spreadsheetml/2006/main">
  <c r="D25" i="24" l="1"/>
  <c r="D24" i="24"/>
  <c r="D23" i="24"/>
  <c r="D22" i="24"/>
  <c r="D21" i="24"/>
  <c r="D20" i="24"/>
  <c r="D19" i="24"/>
  <c r="D18" i="24"/>
  <c r="D17" i="24"/>
  <c r="D16" i="24"/>
  <c r="D9" i="24"/>
  <c r="D8" i="24"/>
  <c r="D7" i="24"/>
  <c r="D6" i="24"/>
  <c r="E30" i="23"/>
  <c r="E68" i="23"/>
  <c r="E69" i="23"/>
  <c r="E70" i="23"/>
  <c r="E71" i="23"/>
  <c r="E72" i="23"/>
  <c r="E73" i="23"/>
  <c r="E67" i="23"/>
  <c r="D74" i="23"/>
  <c r="I27" i="24" s="1"/>
  <c r="C74" i="23"/>
  <c r="H27" i="24" s="1"/>
  <c r="C67" i="23"/>
  <c r="L27" i="24" l="1"/>
  <c r="M27" i="24"/>
  <c r="E77" i="23"/>
  <c r="E78" i="23" s="1"/>
  <c r="E74" i="23"/>
  <c r="E79" i="23" s="1"/>
  <c r="D10" i="24"/>
  <c r="D14" i="24"/>
  <c r="D12" i="24"/>
  <c r="D11" i="24"/>
  <c r="D15" i="24" l="1"/>
  <c r="D13" i="24"/>
  <c r="F25" i="24" l="1"/>
  <c r="F24" i="24"/>
  <c r="F23" i="24"/>
  <c r="F22" i="24"/>
  <c r="F21" i="24"/>
  <c r="F20" i="24"/>
  <c r="F19" i="24"/>
  <c r="F18" i="24"/>
  <c r="F39" i="23"/>
  <c r="E39" i="23"/>
  <c r="D39" i="23"/>
  <c r="F38" i="23"/>
  <c r="E38" i="23"/>
  <c r="D38" i="23"/>
  <c r="F37" i="23"/>
  <c r="E37" i="23"/>
  <c r="D37" i="23"/>
  <c r="F36" i="23"/>
  <c r="E36" i="23"/>
  <c r="D36" i="23"/>
  <c r="F35" i="23"/>
  <c r="E35" i="23"/>
  <c r="D35" i="23"/>
  <c r="C9" i="24"/>
  <c r="C8" i="24"/>
  <c r="H35" i="23" l="1"/>
  <c r="H39" i="23"/>
  <c r="H36" i="23"/>
  <c r="H38" i="23"/>
  <c r="H37" i="23"/>
  <c r="E9" i="23"/>
  <c r="I9" i="23" s="1"/>
  <c r="E8" i="23"/>
  <c r="I8" i="23" s="1"/>
  <c r="E7" i="23"/>
  <c r="I7" i="23" s="1"/>
  <c r="E6" i="23"/>
  <c r="I6" i="23" s="1"/>
  <c r="I12" i="23"/>
  <c r="F5" i="23"/>
  <c r="F10" i="24" l="1"/>
  <c r="F11" i="24"/>
  <c r="E16" i="24"/>
  <c r="E17" i="24"/>
  <c r="E11" i="24"/>
  <c r="E10" i="24"/>
  <c r="F13" i="24"/>
  <c r="F12" i="24"/>
  <c r="F7" i="24"/>
  <c r="F6" i="24"/>
  <c r="F9" i="24"/>
  <c r="F8" i="24"/>
  <c r="E14" i="24"/>
  <c r="E15" i="24"/>
  <c r="E22" i="24"/>
  <c r="G22" i="24" s="1"/>
  <c r="E25" i="24"/>
  <c r="G25" i="24" s="1"/>
  <c r="E24" i="24"/>
  <c r="G24" i="24" s="1"/>
  <c r="E23" i="24"/>
  <c r="G23" i="24" s="1"/>
  <c r="F17" i="24"/>
  <c r="F16" i="24"/>
  <c r="E12" i="24"/>
  <c r="E13" i="24"/>
  <c r="F15" i="24"/>
  <c r="F14" i="24"/>
  <c r="AX5" i="16"/>
  <c r="AX6" i="16"/>
  <c r="AX7" i="16"/>
  <c r="AX8" i="16"/>
  <c r="AX9" i="16"/>
  <c r="AX10" i="16"/>
  <c r="AX11" i="16"/>
  <c r="AX12" i="16"/>
  <c r="AX13" i="16"/>
  <c r="AX14" i="16"/>
  <c r="AX15" i="16"/>
  <c r="AX16" i="16"/>
  <c r="AX17" i="16"/>
  <c r="AX18" i="16"/>
  <c r="AX19" i="16"/>
  <c r="AX20" i="16"/>
  <c r="AX21" i="16"/>
  <c r="AX22" i="16"/>
  <c r="AX23" i="16"/>
  <c r="AX24" i="16"/>
  <c r="AX25" i="16"/>
  <c r="AX26" i="16"/>
  <c r="AX27" i="16"/>
  <c r="AX28" i="16"/>
  <c r="AX29" i="16"/>
  <c r="AX30" i="16"/>
  <c r="AX31" i="16"/>
  <c r="AX32" i="16"/>
  <c r="AX33" i="16"/>
  <c r="AX34" i="16"/>
  <c r="AX35" i="16"/>
  <c r="AX36" i="16"/>
  <c r="AX37" i="16"/>
  <c r="AX38" i="16"/>
  <c r="AX39" i="16"/>
  <c r="AX40" i="16"/>
  <c r="AX41" i="16"/>
  <c r="AX42" i="16"/>
  <c r="AX43" i="16"/>
  <c r="AX44" i="16"/>
  <c r="AX45" i="16"/>
  <c r="AX46" i="16"/>
  <c r="AX47" i="16"/>
  <c r="AX48" i="16"/>
  <c r="AX49" i="16"/>
  <c r="AX50" i="16"/>
  <c r="AX51" i="16"/>
  <c r="AX52" i="16"/>
  <c r="AX53" i="16"/>
  <c r="AX54" i="16"/>
  <c r="AX55" i="16"/>
  <c r="AX56" i="16"/>
  <c r="AX57" i="16"/>
  <c r="AX58" i="16"/>
  <c r="AX59" i="16"/>
  <c r="AX60" i="16"/>
  <c r="AX61" i="16"/>
  <c r="AX62" i="16"/>
  <c r="AX63" i="16"/>
  <c r="AX64" i="16"/>
  <c r="AX65" i="16"/>
  <c r="AX66" i="16"/>
  <c r="AX67" i="16"/>
  <c r="J22" i="24" l="1"/>
  <c r="I22" i="24"/>
  <c r="H22" i="24"/>
  <c r="M22" i="24" s="1"/>
  <c r="I23" i="24"/>
  <c r="K23" i="24"/>
  <c r="J23" i="24"/>
  <c r="G10" i="24"/>
  <c r="K25" i="24"/>
  <c r="J25" i="24"/>
  <c r="I25" i="24"/>
  <c r="M25" i="24" s="1"/>
  <c r="I24" i="24"/>
  <c r="H24" i="24"/>
  <c r="J24" i="24"/>
  <c r="G17" i="24"/>
  <c r="G16" i="24"/>
  <c r="G13" i="24"/>
  <c r="G15" i="24"/>
  <c r="G12" i="24"/>
  <c r="G14" i="24"/>
  <c r="G11" i="24"/>
  <c r="AD67" i="16"/>
  <c r="AD66" i="16"/>
  <c r="AD65" i="16"/>
  <c r="AD64" i="16"/>
  <c r="AD63" i="16"/>
  <c r="AD62" i="16"/>
  <c r="AD61" i="16"/>
  <c r="AD60" i="16"/>
  <c r="AD59" i="16"/>
  <c r="AD58" i="16"/>
  <c r="AD57" i="16"/>
  <c r="AD56" i="16"/>
  <c r="AD55" i="16"/>
  <c r="AD54" i="16"/>
  <c r="AD53" i="16"/>
  <c r="AD52" i="16"/>
  <c r="AD51" i="16"/>
  <c r="AD50" i="16"/>
  <c r="AD49" i="16"/>
  <c r="AD48" i="16"/>
  <c r="AD47" i="16"/>
  <c r="AD46" i="16"/>
  <c r="AD43" i="16"/>
  <c r="AD42" i="16"/>
  <c r="AD41" i="16"/>
  <c r="AD39" i="16"/>
  <c r="AD38" i="16"/>
  <c r="AD36" i="16"/>
  <c r="AD35" i="16"/>
  <c r="AD34" i="16"/>
  <c r="AD33" i="16"/>
  <c r="AD32" i="16"/>
  <c r="AD31" i="16"/>
  <c r="AD30" i="16"/>
  <c r="AD28" i="16"/>
  <c r="AD27" i="16"/>
  <c r="AD26" i="16"/>
  <c r="AD25" i="16"/>
  <c r="AD23" i="16"/>
  <c r="AD22" i="16"/>
  <c r="AD21" i="16"/>
  <c r="AD18" i="16"/>
  <c r="AD17" i="16"/>
  <c r="AD15" i="16"/>
  <c r="AD12" i="16"/>
  <c r="AD11" i="16"/>
  <c r="AD10" i="16"/>
  <c r="AD9" i="16"/>
  <c r="AD8" i="16"/>
  <c r="AD7" i="16"/>
  <c r="AD6" i="16"/>
  <c r="AD5" i="16"/>
  <c r="Y67" i="16"/>
  <c r="Y66" i="16"/>
  <c r="Y65" i="16"/>
  <c r="Y64" i="16"/>
  <c r="Y63" i="16"/>
  <c r="Y62" i="16"/>
  <c r="Y61" i="16"/>
  <c r="Y60" i="16"/>
  <c r="Y59" i="16"/>
  <c r="Y58" i="16"/>
  <c r="Y57" i="16"/>
  <c r="Y56" i="16"/>
  <c r="Y55" i="16"/>
  <c r="Y54" i="16"/>
  <c r="Y53" i="16"/>
  <c r="Y52" i="16"/>
  <c r="Y51" i="16"/>
  <c r="Y50" i="16"/>
  <c r="Y49" i="16"/>
  <c r="Y48" i="16"/>
  <c r="Y47" i="16"/>
  <c r="Y46" i="16"/>
  <c r="Y43" i="16"/>
  <c r="Y42" i="16"/>
  <c r="Y41" i="16"/>
  <c r="Y39" i="16"/>
  <c r="Y38" i="16"/>
  <c r="Y36" i="16"/>
  <c r="Y35" i="16"/>
  <c r="Y34" i="16"/>
  <c r="Y33" i="16"/>
  <c r="Y32" i="16"/>
  <c r="Y31" i="16"/>
  <c r="Y30" i="16"/>
  <c r="Y28" i="16"/>
  <c r="Y27" i="16"/>
  <c r="Y26" i="16"/>
  <c r="Y25" i="16"/>
  <c r="Y23" i="16"/>
  <c r="Y22" i="16"/>
  <c r="Y21" i="16"/>
  <c r="Y18" i="16"/>
  <c r="Y17" i="16"/>
  <c r="Y15" i="16"/>
  <c r="Y12" i="16"/>
  <c r="Y11" i="16"/>
  <c r="Y10" i="16"/>
  <c r="Y9" i="16"/>
  <c r="Y8" i="16"/>
  <c r="Y7" i="16"/>
  <c r="Y6" i="16"/>
  <c r="Y5" i="16"/>
  <c r="Y13" i="16"/>
  <c r="Y14" i="16"/>
  <c r="Y16" i="16"/>
  <c r="Y19" i="16"/>
  <c r="Y20" i="16"/>
  <c r="Y24" i="16"/>
  <c r="Y29" i="16"/>
  <c r="Y37" i="16"/>
  <c r="Y40" i="16"/>
  <c r="Y44" i="16"/>
  <c r="Y45" i="16"/>
  <c r="R25" i="16"/>
  <c r="L24" i="24" l="1"/>
  <c r="M24" i="24"/>
  <c r="M23" i="24"/>
  <c r="L23" i="24"/>
  <c r="L22" i="24"/>
  <c r="L25" i="24"/>
  <c r="I11" i="24"/>
  <c r="K11" i="24"/>
  <c r="J11" i="24"/>
  <c r="K13" i="24"/>
  <c r="J13" i="24"/>
  <c r="I13" i="24"/>
  <c r="M13" i="24" s="1"/>
  <c r="J14" i="24"/>
  <c r="H14" i="24"/>
  <c r="I16" i="24"/>
  <c r="H16" i="24"/>
  <c r="M16" i="24" s="1"/>
  <c r="J16" i="24"/>
  <c r="J10" i="24"/>
  <c r="I10" i="24"/>
  <c r="H10" i="24"/>
  <c r="M10" i="24" s="1"/>
  <c r="I12" i="24"/>
  <c r="H12" i="24"/>
  <c r="J12" i="24"/>
  <c r="K17" i="24"/>
  <c r="J17" i="24"/>
  <c r="I17" i="24"/>
  <c r="I15" i="24"/>
  <c r="K15" i="24"/>
  <c r="J15" i="24"/>
  <c r="R55" i="16"/>
  <c r="M17" i="24" l="1"/>
  <c r="M14" i="24"/>
  <c r="M15" i="24"/>
  <c r="M11" i="24"/>
  <c r="M12" i="24"/>
  <c r="L12" i="24"/>
  <c r="L10" i="24"/>
  <c r="L16" i="24"/>
  <c r="L13" i="24"/>
  <c r="L15" i="24"/>
  <c r="L11" i="24"/>
  <c r="L17" i="24"/>
  <c r="I14" i="24"/>
  <c r="L14" i="24" s="1"/>
  <c r="R20" i="16"/>
  <c r="R5" i="16" l="1"/>
  <c r="O5" i="16" s="1"/>
  <c r="R6" i="16"/>
  <c r="R7" i="16"/>
  <c r="R8" i="16"/>
  <c r="R9" i="16"/>
  <c r="R10" i="16"/>
  <c r="R11" i="16"/>
  <c r="R12" i="16"/>
  <c r="R13" i="16"/>
  <c r="R14" i="16"/>
  <c r="R15" i="16"/>
  <c r="R16" i="16"/>
  <c r="R17" i="16"/>
  <c r="R18" i="16"/>
  <c r="R19" i="16"/>
  <c r="R21" i="16"/>
  <c r="R22" i="16"/>
  <c r="R23" i="16"/>
  <c r="R24" i="16"/>
  <c r="R26" i="16"/>
  <c r="R27" i="16"/>
  <c r="R28" i="16"/>
  <c r="R29" i="16"/>
  <c r="R30" i="16"/>
  <c r="R31" i="16"/>
  <c r="R32" i="16"/>
  <c r="R33" i="16"/>
  <c r="R34" i="16"/>
  <c r="R35" i="16"/>
  <c r="R36" i="16"/>
  <c r="R37" i="16"/>
  <c r="R38" i="16"/>
  <c r="R39" i="16"/>
  <c r="R40" i="16"/>
  <c r="R41" i="16"/>
  <c r="R42" i="16"/>
  <c r="R43" i="16"/>
  <c r="R44" i="16"/>
  <c r="R45" i="16"/>
  <c r="R46" i="16"/>
  <c r="R47" i="16"/>
  <c r="R48" i="16"/>
  <c r="R49" i="16"/>
  <c r="R50" i="16"/>
  <c r="R51" i="16"/>
  <c r="R52" i="16"/>
  <c r="R53" i="16"/>
  <c r="R54" i="16"/>
  <c r="R56" i="16"/>
  <c r="R57" i="16"/>
  <c r="R58" i="16"/>
  <c r="R59" i="16"/>
  <c r="R60" i="16"/>
  <c r="R61" i="16"/>
  <c r="R62" i="16"/>
  <c r="R63" i="16"/>
  <c r="R64" i="16"/>
  <c r="R65" i="16"/>
  <c r="R66" i="16"/>
  <c r="R67" i="16"/>
  <c r="X25" i="16" l="1"/>
  <c r="X5" i="16"/>
  <c r="X6" i="16"/>
  <c r="X7" i="16"/>
  <c r="X8" i="16"/>
  <c r="X9" i="16"/>
  <c r="X10" i="16"/>
  <c r="X11" i="16"/>
  <c r="X12" i="16"/>
  <c r="X13" i="16"/>
  <c r="X14" i="16"/>
  <c r="X15" i="16"/>
  <c r="X16" i="16"/>
  <c r="X17" i="16"/>
  <c r="X18" i="16"/>
  <c r="X19" i="16"/>
  <c r="X20" i="16"/>
  <c r="X21" i="16"/>
  <c r="X22" i="16"/>
  <c r="X23" i="16"/>
  <c r="X24" i="16"/>
  <c r="X26" i="16"/>
  <c r="X27" i="16"/>
  <c r="X28" i="16"/>
  <c r="X29" i="16"/>
  <c r="X30" i="16"/>
  <c r="X31" i="16"/>
  <c r="X32" i="16"/>
  <c r="X33" i="16"/>
  <c r="X34" i="16"/>
  <c r="X35" i="16"/>
  <c r="X36" i="16"/>
  <c r="X37" i="16"/>
  <c r="X38" i="16"/>
  <c r="X39" i="16"/>
  <c r="X40" i="16"/>
  <c r="X41" i="16"/>
  <c r="X42" i="16"/>
  <c r="X43" i="16"/>
  <c r="X44" i="16"/>
  <c r="X45" i="16"/>
  <c r="X46" i="16"/>
  <c r="X47" i="16"/>
  <c r="X48" i="16"/>
  <c r="X49" i="16"/>
  <c r="X50" i="16"/>
  <c r="X51" i="16"/>
  <c r="X52" i="16"/>
  <c r="X53" i="16"/>
  <c r="X54" i="16"/>
  <c r="X55" i="16"/>
  <c r="X56" i="16"/>
  <c r="X57" i="16"/>
  <c r="X58" i="16"/>
  <c r="X59" i="16"/>
  <c r="X60" i="16"/>
  <c r="X61" i="16"/>
  <c r="X62" i="16"/>
  <c r="X63" i="16"/>
  <c r="X64" i="16"/>
  <c r="X65" i="16"/>
  <c r="X66" i="16"/>
  <c r="X67" i="16"/>
  <c r="O6" i="16"/>
  <c r="O7" i="16"/>
  <c r="O8" i="16"/>
  <c r="O9" i="16"/>
  <c r="O10" i="16"/>
  <c r="O11" i="16"/>
  <c r="O12" i="16"/>
  <c r="O13" i="16"/>
  <c r="O14" i="16"/>
  <c r="O15" i="16"/>
  <c r="O16" i="16"/>
  <c r="O17" i="16"/>
  <c r="O18" i="16"/>
  <c r="O19" i="16"/>
  <c r="O20" i="16"/>
  <c r="O21" i="16"/>
  <c r="O22" i="16"/>
  <c r="O23" i="16"/>
  <c r="O24" i="16"/>
  <c r="O25" i="16"/>
  <c r="O26" i="16"/>
  <c r="O27" i="16"/>
  <c r="O28" i="16"/>
  <c r="O29" i="16"/>
  <c r="O30" i="16"/>
  <c r="O31" i="16"/>
  <c r="O32" i="16"/>
  <c r="O33" i="16"/>
  <c r="O34" i="16"/>
  <c r="O35" i="16"/>
  <c r="O36" i="16"/>
  <c r="O37" i="16"/>
  <c r="O38" i="16"/>
  <c r="O39" i="16"/>
  <c r="O40" i="16"/>
  <c r="O41" i="16"/>
  <c r="O42" i="16"/>
  <c r="O43" i="16"/>
  <c r="O44" i="16"/>
  <c r="O45" i="16"/>
  <c r="O46" i="16"/>
  <c r="O47" i="16"/>
  <c r="O48" i="16"/>
  <c r="O49" i="16"/>
  <c r="O50" i="16"/>
  <c r="O51" i="16"/>
  <c r="O52" i="16"/>
  <c r="O53" i="16"/>
  <c r="O54" i="16"/>
  <c r="O55" i="16"/>
  <c r="O56" i="16"/>
  <c r="O57" i="16"/>
  <c r="O58" i="16"/>
  <c r="O59" i="16"/>
  <c r="O60" i="16"/>
  <c r="O61" i="16"/>
  <c r="O62" i="16"/>
  <c r="O63" i="16"/>
  <c r="O64" i="16"/>
  <c r="O65" i="16"/>
  <c r="O66" i="16"/>
  <c r="O67" i="16"/>
  <c r="E4" i="23" l="1"/>
  <c r="E10" i="23" s="1"/>
  <c r="I10" i="23" s="1"/>
  <c r="E5" i="23"/>
  <c r="B74" i="13"/>
  <c r="B73" i="13"/>
  <c r="B72" i="13"/>
  <c r="B71" i="13"/>
  <c r="B70" i="13"/>
  <c r="B69" i="13"/>
  <c r="B68" i="13"/>
  <c r="B67" i="13"/>
  <c r="B66" i="13"/>
  <c r="B65" i="13"/>
  <c r="B64" i="13"/>
  <c r="B63" i="13"/>
  <c r="B62" i="13"/>
  <c r="B61" i="13"/>
  <c r="B60" i="13"/>
  <c r="B59" i="13"/>
  <c r="B58" i="13"/>
  <c r="B57" i="13"/>
  <c r="B56" i="13"/>
  <c r="B55" i="13"/>
  <c r="B54" i="13"/>
  <c r="B53" i="13"/>
  <c r="B52" i="13"/>
  <c r="B51" i="13"/>
  <c r="B50" i="13"/>
  <c r="B49" i="13"/>
  <c r="B48" i="13"/>
  <c r="B47" i="13"/>
  <c r="B46" i="13"/>
  <c r="B45" i="13"/>
  <c r="B44" i="13"/>
  <c r="B43" i="13"/>
  <c r="B42" i="13"/>
  <c r="B41" i="13"/>
  <c r="B40" i="13"/>
  <c r="B39" i="13"/>
  <c r="B38" i="13"/>
  <c r="B37" i="13"/>
  <c r="B36" i="13"/>
  <c r="B35" i="13"/>
  <c r="B34" i="13"/>
  <c r="B33" i="13"/>
  <c r="B32" i="13"/>
  <c r="B31" i="13"/>
  <c r="B30" i="13"/>
  <c r="B29" i="13"/>
  <c r="B28" i="13"/>
  <c r="B27" i="13"/>
  <c r="B26" i="13"/>
  <c r="B25" i="13"/>
  <c r="E20" i="24" l="1"/>
  <c r="G20" i="24" s="1"/>
  <c r="E18" i="24"/>
  <c r="G18" i="24" s="1"/>
  <c r="I4" i="23"/>
  <c r="E11" i="23"/>
  <c r="I11" i="23" s="1"/>
  <c r="I5" i="23"/>
  <c r="I20" i="24" l="1"/>
  <c r="H20" i="24"/>
  <c r="J20" i="24"/>
  <c r="J18" i="24"/>
  <c r="I18" i="24"/>
  <c r="H18" i="24"/>
  <c r="E9" i="24"/>
  <c r="G9" i="24" s="1"/>
  <c r="E7" i="24"/>
  <c r="G7" i="24" s="1"/>
  <c r="E19" i="24"/>
  <c r="G19" i="24" s="1"/>
  <c r="E21" i="24"/>
  <c r="G21" i="24" s="1"/>
  <c r="E6" i="24"/>
  <c r="G6" i="24" s="1"/>
  <c r="E8" i="24"/>
  <c r="G8" i="24" s="1"/>
  <c r="L18" i="24" l="1"/>
  <c r="M18" i="24"/>
  <c r="L20" i="24"/>
  <c r="M20" i="24"/>
  <c r="K9" i="24"/>
  <c r="J9" i="24"/>
  <c r="I9" i="24"/>
  <c r="K21" i="24"/>
  <c r="J21" i="24"/>
  <c r="I21" i="24"/>
  <c r="M21" i="24" s="1"/>
  <c r="I19" i="24"/>
  <c r="M19" i="24" s="1"/>
  <c r="K19" i="24"/>
  <c r="J19" i="24"/>
  <c r="K8" i="24"/>
  <c r="J8" i="24"/>
  <c r="I8" i="24"/>
  <c r="I7" i="24"/>
  <c r="H7" i="24"/>
  <c r="J7" i="24"/>
  <c r="J6" i="24"/>
  <c r="H6" i="24"/>
  <c r="I6" i="24"/>
  <c r="L7" i="24" l="1"/>
  <c r="M7" i="24"/>
  <c r="M6" i="24"/>
  <c r="L8" i="24"/>
  <c r="M8" i="24"/>
  <c r="M9" i="24"/>
  <c r="L19" i="24"/>
  <c r="L9" i="24"/>
  <c r="L21" i="24"/>
  <c r="L6" i="24"/>
  <c r="G32" i="24" l="1"/>
  <c r="G39" i="24" s="1"/>
  <c r="G33" i="24"/>
  <c r="G40" i="24" s="1"/>
  <c r="G30" i="24"/>
  <c r="G37" i="24" s="1"/>
  <c r="G29" i="24"/>
  <c r="G36" i="24" s="1"/>
</calcChain>
</file>

<file path=xl/comments1.xml><?xml version="1.0" encoding="utf-8"?>
<comments xmlns="http://schemas.openxmlformats.org/spreadsheetml/2006/main">
  <authors>
    <author>Author</author>
  </authors>
  <commentList>
    <comment ref="J5" authorId="0" shapeId="0">
      <text>
        <r>
          <rPr>
            <b/>
            <sz val="9"/>
            <color indexed="81"/>
            <rFont val="Tahoma"/>
            <family val="2"/>
          </rPr>
          <t>Author:</t>
        </r>
        <r>
          <rPr>
            <sz val="9"/>
            <color indexed="81"/>
            <rFont val="Tahoma"/>
            <family val="2"/>
          </rPr>
          <t xml:space="preserve">
Post project period</t>
        </r>
      </text>
    </comment>
    <comment ref="K5" authorId="0" shapeId="0">
      <text>
        <r>
          <rPr>
            <b/>
            <sz val="9"/>
            <color indexed="81"/>
            <rFont val="Tahoma"/>
            <family val="2"/>
          </rPr>
          <t>Author:</t>
        </r>
        <r>
          <rPr>
            <sz val="9"/>
            <color indexed="81"/>
            <rFont val="Tahoma"/>
            <family val="2"/>
          </rPr>
          <t xml:space="preserve">
Post project period</t>
        </r>
      </text>
    </comment>
  </commentList>
</comments>
</file>

<file path=xl/comments2.xml><?xml version="1.0" encoding="utf-8"?>
<comments xmlns="http://schemas.openxmlformats.org/spreadsheetml/2006/main">
  <authors>
    <author>Author</author>
  </authors>
  <commentList>
    <comment ref="G35" authorId="0" shapeId="0">
      <text>
        <r>
          <rPr>
            <b/>
            <sz val="9"/>
            <color indexed="81"/>
            <rFont val="Tahoma"/>
            <family val="2"/>
          </rPr>
          <t>Author:</t>
        </r>
        <r>
          <rPr>
            <sz val="9"/>
            <color indexed="81"/>
            <rFont val="Tahoma"/>
            <family val="2"/>
          </rPr>
          <t xml:space="preserve">
Amended as per email of 16 Feb</t>
        </r>
      </text>
    </comment>
    <comment ref="G36" authorId="0" shapeId="0">
      <text>
        <r>
          <rPr>
            <b/>
            <sz val="9"/>
            <color indexed="81"/>
            <rFont val="Tahoma"/>
            <family val="2"/>
          </rPr>
          <t>Author:</t>
        </r>
        <r>
          <rPr>
            <sz val="9"/>
            <color indexed="81"/>
            <rFont val="Tahoma"/>
            <family val="2"/>
          </rPr>
          <t xml:space="preserve">
Amended as per email of 16 Feb.</t>
        </r>
      </text>
    </comment>
    <comment ref="G39" authorId="0" shapeId="0">
      <text>
        <r>
          <rPr>
            <b/>
            <sz val="9"/>
            <color indexed="81"/>
            <rFont val="Tahoma"/>
            <family val="2"/>
          </rPr>
          <t>Author:</t>
        </r>
        <r>
          <rPr>
            <sz val="9"/>
            <color indexed="81"/>
            <rFont val="Tahoma"/>
            <family val="2"/>
          </rPr>
          <t xml:space="preserve">
Amended as per email of 16 Feb.</t>
        </r>
      </text>
    </comment>
    <comment ref="H40" authorId="0" shapeId="0">
      <text>
        <r>
          <rPr>
            <b/>
            <sz val="9"/>
            <color indexed="81"/>
            <rFont val="Tahoma"/>
            <family val="2"/>
          </rPr>
          <t>Author:</t>
        </r>
        <r>
          <rPr>
            <sz val="9"/>
            <color indexed="81"/>
            <rFont val="Tahoma"/>
            <family val="2"/>
          </rPr>
          <t xml:space="preserve">
Source: email of 3rd Dec from Frank</t>
        </r>
      </text>
    </comment>
    <comment ref="H41" authorId="0" shapeId="0">
      <text>
        <r>
          <rPr>
            <b/>
            <sz val="9"/>
            <color indexed="81"/>
            <rFont val="Tahoma"/>
            <family val="2"/>
          </rPr>
          <t>Author:</t>
        </r>
        <r>
          <rPr>
            <sz val="9"/>
            <color indexed="81"/>
            <rFont val="Tahoma"/>
            <family val="2"/>
          </rPr>
          <t xml:space="preserve">
Source: Assumed from community analysis</t>
        </r>
      </text>
    </comment>
    <comment ref="H42" authorId="0" shapeId="0">
      <text>
        <r>
          <rPr>
            <b/>
            <sz val="9"/>
            <color indexed="81"/>
            <rFont val="Tahoma"/>
            <family val="2"/>
          </rPr>
          <t>Author:</t>
        </r>
        <r>
          <rPr>
            <sz val="9"/>
            <color indexed="81"/>
            <rFont val="Tahoma"/>
            <family val="2"/>
          </rPr>
          <t xml:space="preserve">
Source: Email of 3rd Dec from Frank</t>
        </r>
      </text>
    </comment>
  </commentList>
</comments>
</file>

<file path=xl/comments3.xml><?xml version="1.0" encoding="utf-8"?>
<comments xmlns="http://schemas.openxmlformats.org/spreadsheetml/2006/main">
  <authors>
    <author>Author</author>
  </authors>
  <commentList>
    <comment ref="AF3" authorId="0" shapeId="0">
      <text>
        <r>
          <rPr>
            <b/>
            <sz val="9"/>
            <color indexed="81"/>
            <rFont val="Tahoma"/>
            <family val="2"/>
          </rPr>
          <t>Author:</t>
        </r>
        <r>
          <rPr>
            <sz val="9"/>
            <color indexed="81"/>
            <rFont val="Tahoma"/>
            <family val="2"/>
          </rPr>
          <t xml:space="preserve">
1 group only</t>
        </r>
      </text>
    </comment>
    <comment ref="AK3" authorId="0" shapeId="0">
      <text>
        <r>
          <rPr>
            <b/>
            <sz val="9"/>
            <color indexed="81"/>
            <rFont val="Tahoma"/>
            <family val="2"/>
          </rPr>
          <t>Author:</t>
        </r>
        <r>
          <rPr>
            <sz val="9"/>
            <color indexed="81"/>
            <rFont val="Tahoma"/>
            <family val="2"/>
          </rPr>
          <t xml:space="preserve">
Only for WEDTF group
</t>
        </r>
      </text>
    </comment>
    <comment ref="AR3" authorId="0" shapeId="0">
      <text>
        <r>
          <rPr>
            <b/>
            <sz val="9"/>
            <color indexed="81"/>
            <rFont val="Tahoma"/>
            <family val="2"/>
          </rPr>
          <t>Author:</t>
        </r>
        <r>
          <rPr>
            <sz val="9"/>
            <color indexed="81"/>
            <rFont val="Tahoma"/>
            <family val="2"/>
          </rPr>
          <t xml:space="preserve">
1 group only</t>
        </r>
      </text>
    </comment>
    <comment ref="M4" authorId="0" shapeId="0">
      <text>
        <r>
          <rPr>
            <b/>
            <sz val="9"/>
            <color indexed="81"/>
            <rFont val="Tahoma"/>
            <family val="2"/>
          </rPr>
          <t>Debjani Ghosh: 
Replaced N/A with zero</t>
        </r>
        <r>
          <rPr>
            <sz val="9"/>
            <color indexed="81"/>
            <rFont val="Tahoma"/>
            <family val="2"/>
          </rPr>
          <t xml:space="preserve">
</t>
        </r>
      </text>
    </comment>
    <comment ref="N4" authorId="0" shapeId="0">
      <text>
        <r>
          <rPr>
            <b/>
            <sz val="9"/>
            <color indexed="81"/>
            <rFont val="Tahoma"/>
            <family val="2"/>
          </rPr>
          <t>Author:</t>
        </r>
        <r>
          <rPr>
            <sz val="9"/>
            <color indexed="81"/>
            <rFont val="Tahoma"/>
            <family val="2"/>
          </rPr>
          <t xml:space="preserve">
N/A replaced with zero</t>
        </r>
      </text>
    </comment>
    <comment ref="U4" authorId="0" shapeId="0">
      <text>
        <r>
          <rPr>
            <b/>
            <sz val="9"/>
            <color indexed="81"/>
            <rFont val="Tahoma"/>
            <family val="2"/>
          </rPr>
          <t>Author:</t>
        </r>
        <r>
          <rPr>
            <sz val="9"/>
            <color indexed="81"/>
            <rFont val="Tahoma"/>
            <family val="2"/>
          </rPr>
          <t xml:space="preserve">
N/A replaced with zero</t>
        </r>
      </text>
    </comment>
    <comment ref="V4" authorId="0" shapeId="0">
      <text>
        <r>
          <rPr>
            <b/>
            <sz val="9"/>
            <color indexed="81"/>
            <rFont val="Tahoma"/>
            <family val="2"/>
          </rPr>
          <t>Author:</t>
        </r>
        <r>
          <rPr>
            <sz val="9"/>
            <color indexed="81"/>
            <rFont val="Tahoma"/>
            <family val="2"/>
          </rPr>
          <t xml:space="preserve">
Replaced N/A with zero</t>
        </r>
      </text>
    </comment>
    <comment ref="W4" authorId="0" shapeId="0">
      <text>
        <r>
          <rPr>
            <b/>
            <sz val="9"/>
            <color indexed="81"/>
            <rFont val="Tahoma"/>
            <family val="2"/>
          </rPr>
          <t>Author:</t>
        </r>
        <r>
          <rPr>
            <sz val="9"/>
            <color indexed="81"/>
            <rFont val="Tahoma"/>
            <family val="2"/>
          </rPr>
          <t xml:space="preserve">
Replaced N/A with zero</t>
        </r>
      </text>
    </comment>
    <comment ref="R5" authorId="0" shapeId="0">
      <text>
        <r>
          <rPr>
            <b/>
            <sz val="9"/>
            <color indexed="81"/>
            <rFont val="Tahoma"/>
            <family val="2"/>
          </rPr>
          <t>Author:</t>
        </r>
        <r>
          <rPr>
            <sz val="9"/>
            <color indexed="81"/>
            <rFont val="Tahoma"/>
            <family val="2"/>
          </rPr>
          <t xml:space="preserve">
FIX counterfactual look-up.
27/01/2015 - LL - this look up now works. I had to do the look up based on the group rather than the counterfactual text itself.
</t>
        </r>
      </text>
    </comment>
    <comment ref="V7" authorId="0" shapeId="0">
      <text>
        <r>
          <rPr>
            <b/>
            <sz val="9"/>
            <color indexed="81"/>
            <rFont val="Tahoma"/>
            <family val="2"/>
          </rPr>
          <t>She has been able to to borrow</t>
        </r>
      </text>
    </comment>
    <comment ref="U9" authorId="0" shapeId="0">
      <text>
        <r>
          <rPr>
            <b/>
            <sz val="9"/>
            <color indexed="81"/>
            <rFont val="Tahoma"/>
            <family val="2"/>
          </rPr>
          <t>We have made  the first step forward</t>
        </r>
      </text>
    </comment>
    <comment ref="AB12" authorId="0" shapeId="0">
      <text>
        <r>
          <rPr>
            <b/>
            <sz val="9"/>
            <color indexed="81"/>
            <rFont val="Tahoma"/>
            <family val="2"/>
          </rPr>
          <t>Author:</t>
        </r>
        <r>
          <rPr>
            <sz val="9"/>
            <color indexed="81"/>
            <rFont val="Tahoma"/>
            <family val="2"/>
          </rPr>
          <t xml:space="preserve">
Looks really high</t>
        </r>
      </text>
    </comment>
    <comment ref="AW34" authorId="0" shapeId="0">
      <text>
        <r>
          <rPr>
            <b/>
            <sz val="9"/>
            <color indexed="81"/>
            <rFont val="Tahoma"/>
            <family val="2"/>
          </rPr>
          <t>Author:</t>
        </r>
        <r>
          <rPr>
            <sz val="9"/>
            <color indexed="81"/>
            <rFont val="Tahoma"/>
            <family val="2"/>
          </rPr>
          <t xml:space="preserve">
No discretionary income but does have v high net profit. Reasonable to have a high value.</t>
        </r>
      </text>
    </comment>
    <comment ref="N37" authorId="0" shapeId="0">
      <text>
        <r>
          <rPr>
            <b/>
            <sz val="9"/>
            <color indexed="81"/>
            <rFont val="Tahoma"/>
            <family val="2"/>
          </rPr>
          <t>Author:</t>
        </r>
        <r>
          <rPr>
            <sz val="9"/>
            <color indexed="81"/>
            <rFont val="Tahoma"/>
            <family val="2"/>
          </rPr>
          <t xml:space="preserve">
Amount corrected as per email of 26 Jan</t>
        </r>
      </text>
    </comment>
    <comment ref="M38" authorId="0" shapeId="0">
      <text>
        <r>
          <rPr>
            <b/>
            <sz val="9"/>
            <color indexed="81"/>
            <rFont val="Tahoma"/>
            <family val="2"/>
          </rPr>
          <t>Author:</t>
        </r>
        <r>
          <rPr>
            <sz val="9"/>
            <color indexed="81"/>
            <rFont val="Tahoma"/>
            <family val="2"/>
          </rPr>
          <t xml:space="preserve">
Amount corrected as per email of 26 Jan.</t>
        </r>
      </text>
    </comment>
    <comment ref="AG38" authorId="0" shapeId="0">
      <text>
        <r>
          <rPr>
            <b/>
            <sz val="9"/>
            <color indexed="81"/>
            <rFont val="Tahoma"/>
            <family val="2"/>
          </rPr>
          <t>Author:</t>
        </r>
        <r>
          <rPr>
            <sz val="9"/>
            <color indexed="81"/>
            <rFont val="Tahoma"/>
            <family val="2"/>
          </rPr>
          <t xml:space="preserve">
They have no savings. Where does the security come from...</t>
        </r>
      </text>
    </comment>
    <comment ref="AR38" authorId="0" shapeId="0">
      <text>
        <r>
          <rPr>
            <b/>
            <sz val="9"/>
            <color indexed="81"/>
            <rFont val="Tahoma"/>
            <family val="2"/>
          </rPr>
          <t>Author:</t>
        </r>
        <r>
          <rPr>
            <sz val="9"/>
            <color indexed="81"/>
            <rFont val="Tahoma"/>
            <family val="2"/>
          </rPr>
          <t xml:space="preserve">
No WEDTF savings</t>
        </r>
      </text>
    </comment>
    <comment ref="AR39" authorId="0" shapeId="0">
      <text>
        <r>
          <rPr>
            <b/>
            <sz val="9"/>
            <color indexed="81"/>
            <rFont val="Tahoma"/>
            <family val="2"/>
          </rPr>
          <t>Author:</t>
        </r>
        <r>
          <rPr>
            <sz val="9"/>
            <color indexed="81"/>
            <rFont val="Tahoma"/>
            <family val="2"/>
          </rPr>
          <t xml:space="preserve">
No WEDTF savings</t>
        </r>
      </text>
    </comment>
    <comment ref="AR43" authorId="0" shapeId="0">
      <text>
        <r>
          <rPr>
            <b/>
            <sz val="9"/>
            <color indexed="81"/>
            <rFont val="Tahoma"/>
            <family val="2"/>
          </rPr>
          <t>Author:</t>
        </r>
        <r>
          <rPr>
            <sz val="9"/>
            <color indexed="81"/>
            <rFont val="Tahoma"/>
            <family val="2"/>
          </rPr>
          <t xml:space="preserve">
No WEDTF savings...</t>
        </r>
      </text>
    </comment>
    <comment ref="M44" authorId="0" shapeId="0">
      <text>
        <r>
          <rPr>
            <sz val="9"/>
            <color indexed="81"/>
            <rFont val="Tahoma"/>
            <family val="2"/>
          </rPr>
          <t>She was not involved in vegetable production before the cash project</t>
        </r>
      </text>
    </comment>
    <comment ref="M45" authorId="0" shapeId="0">
      <text>
        <r>
          <rPr>
            <sz val="9"/>
            <color indexed="81"/>
            <rFont val="Tahoma"/>
            <family val="2"/>
          </rPr>
          <t xml:space="preserve">
She was not involved in Vegetable and Fruit production before the Cash project</t>
        </r>
      </text>
    </comment>
    <comment ref="K49" authorId="0" shapeId="0">
      <text>
        <r>
          <rPr>
            <b/>
            <sz val="9"/>
            <color indexed="81"/>
            <rFont val="Tahoma"/>
            <family val="2"/>
          </rPr>
          <t>Author:</t>
        </r>
        <r>
          <rPr>
            <sz val="9"/>
            <color indexed="81"/>
            <rFont val="Tahoma"/>
            <family val="2"/>
          </rPr>
          <t xml:space="preserve">
Amended as per email of 26 Jan</t>
        </r>
      </text>
    </comment>
  </commentList>
</comments>
</file>

<file path=xl/comments4.xml><?xml version="1.0" encoding="utf-8"?>
<comments xmlns="http://schemas.openxmlformats.org/spreadsheetml/2006/main">
  <authors>
    <author>Author</author>
  </authors>
  <commentList>
    <comment ref="G2" authorId="0" shapeId="0">
      <text>
        <r>
          <rPr>
            <b/>
            <sz val="9"/>
            <color indexed="81"/>
            <rFont val="Tahoma"/>
            <family val="2"/>
          </rPr>
          <t>Author:</t>
        </r>
        <r>
          <rPr>
            <sz val="9"/>
            <color indexed="81"/>
            <rFont val="Tahoma"/>
            <family val="2"/>
          </rPr>
          <t xml:space="preserve">
N/A replaced with zero</t>
        </r>
      </text>
    </comment>
    <comment ref="G7" authorId="0" shapeId="0">
      <text>
        <r>
          <rPr>
            <b/>
            <sz val="9"/>
            <color indexed="81"/>
            <rFont val="Tahoma"/>
            <family val="2"/>
          </rPr>
          <t>We have made  the first step forward</t>
        </r>
      </text>
    </comment>
  </commentList>
</comments>
</file>

<file path=xl/comments5.xml><?xml version="1.0" encoding="utf-8"?>
<comments xmlns="http://schemas.openxmlformats.org/spreadsheetml/2006/main">
  <authors>
    <author>Author</author>
  </authors>
  <commentList>
    <comment ref="B10" authorId="0" shapeId="0">
      <text>
        <r>
          <rPr>
            <b/>
            <sz val="9"/>
            <color indexed="81"/>
            <rFont val="Tahoma"/>
            <family val="2"/>
          </rPr>
          <t>Author:</t>
        </r>
        <r>
          <rPr>
            <sz val="9"/>
            <color indexed="81"/>
            <rFont val="Tahoma"/>
            <family val="2"/>
          </rPr>
          <t xml:space="preserve">
You will need to set up a table like this for each raw data table you have.</t>
        </r>
      </text>
    </comment>
    <comment ref="D11" authorId="0" shapeId="0">
      <text>
        <r>
          <rPr>
            <b/>
            <sz val="9"/>
            <color indexed="81"/>
            <rFont val="Tahoma"/>
            <family val="2"/>
          </rPr>
          <t>Author:</t>
        </r>
        <r>
          <rPr>
            <sz val="9"/>
            <color indexed="81"/>
            <rFont val="Tahoma"/>
            <family val="2"/>
          </rPr>
          <t xml:space="preserve">
You need to set the factor according to how your model works. I've put some random numbers in for the moment.</t>
        </r>
      </text>
    </comment>
    <comment ref="E11" authorId="0" shapeId="0">
      <text>
        <r>
          <rPr>
            <b/>
            <sz val="9"/>
            <color indexed="81"/>
            <rFont val="Tahoma"/>
            <family val="2"/>
          </rPr>
          <t>Author:</t>
        </r>
        <r>
          <rPr>
            <sz val="9"/>
            <color indexed="81"/>
            <rFont val="Tahoma"/>
            <family val="2"/>
          </rPr>
          <t xml:space="preserve">
Explain here your rationale for assigning the CF factor.</t>
        </r>
      </text>
    </comment>
  </commentList>
</comments>
</file>

<file path=xl/comments6.xml><?xml version="1.0" encoding="utf-8"?>
<comments xmlns="http://schemas.openxmlformats.org/spreadsheetml/2006/main">
  <authors>
    <author>Author</author>
  </authors>
  <commentList>
    <comment ref="Z3" authorId="0" shapeId="0">
      <text>
        <r>
          <rPr>
            <b/>
            <sz val="9"/>
            <color indexed="81"/>
            <rFont val="Tahoma"/>
            <family val="2"/>
          </rPr>
          <t>Author:</t>
        </r>
        <r>
          <rPr>
            <sz val="9"/>
            <color indexed="81"/>
            <rFont val="Tahoma"/>
            <family val="2"/>
          </rPr>
          <t xml:space="preserve">
1 group only</t>
        </r>
      </text>
    </comment>
    <comment ref="AC3" authorId="0" shapeId="0">
      <text>
        <r>
          <rPr>
            <b/>
            <sz val="9"/>
            <color indexed="81"/>
            <rFont val="Tahoma"/>
            <family val="2"/>
          </rPr>
          <t>Author:</t>
        </r>
        <r>
          <rPr>
            <sz val="9"/>
            <color indexed="81"/>
            <rFont val="Tahoma"/>
            <family val="2"/>
          </rPr>
          <t xml:space="preserve">
Only for WEDTF group
</t>
        </r>
      </text>
    </comment>
    <comment ref="AH3" authorId="0" shapeId="0">
      <text>
        <r>
          <rPr>
            <b/>
            <sz val="9"/>
            <color indexed="81"/>
            <rFont val="Tahoma"/>
            <family val="2"/>
          </rPr>
          <t>Author:</t>
        </r>
        <r>
          <rPr>
            <sz val="9"/>
            <color indexed="81"/>
            <rFont val="Tahoma"/>
            <family val="2"/>
          </rPr>
          <t xml:space="preserve">
1 group only</t>
        </r>
      </text>
    </comment>
    <comment ref="T7" authorId="0" shapeId="0">
      <text>
        <r>
          <rPr>
            <b/>
            <sz val="9"/>
            <color indexed="81"/>
            <rFont val="Tahoma"/>
            <family val="2"/>
          </rPr>
          <t>She has been able to to borrow</t>
        </r>
      </text>
    </comment>
    <comment ref="S9" authorId="0" shapeId="0">
      <text>
        <r>
          <rPr>
            <b/>
            <sz val="9"/>
            <color indexed="81"/>
            <rFont val="Tahoma"/>
            <family val="2"/>
          </rPr>
          <t>We have made  the first step forward</t>
        </r>
      </text>
    </comment>
    <comment ref="M44" authorId="0" shapeId="0">
      <text>
        <r>
          <rPr>
            <sz val="9"/>
            <color indexed="81"/>
            <rFont val="Tahoma"/>
            <family val="2"/>
          </rPr>
          <t>She was not involved in vegetable production before the cash project</t>
        </r>
      </text>
    </comment>
    <comment ref="M45" authorId="0" shapeId="0">
      <text>
        <r>
          <rPr>
            <sz val="9"/>
            <color indexed="81"/>
            <rFont val="Tahoma"/>
            <family val="2"/>
          </rPr>
          <t xml:space="preserve">
She was not involved in Vegetable and Fruit production before the Cash project</t>
        </r>
      </text>
    </comment>
  </commentList>
</comments>
</file>

<file path=xl/comments7.xml><?xml version="1.0" encoding="utf-8"?>
<comments xmlns="http://schemas.openxmlformats.org/spreadsheetml/2006/main">
  <authors>
    <author>Author</author>
  </authors>
  <commentList>
    <comment ref="F5" authorId="0" shapeId="0">
      <text>
        <r>
          <rPr>
            <b/>
            <sz val="9"/>
            <color indexed="81"/>
            <rFont val="Tahoma"/>
            <family val="2"/>
          </rPr>
          <t>Author:</t>
        </r>
        <r>
          <rPr>
            <sz val="9"/>
            <color indexed="81"/>
            <rFont val="Tahoma"/>
            <family val="2"/>
          </rPr>
          <t xml:space="preserve">
Direct with UWAMWIMA </t>
        </r>
      </text>
    </comment>
  </commentList>
</comments>
</file>

<file path=xl/sharedStrings.xml><?xml version="1.0" encoding="utf-8"?>
<sst xmlns="http://schemas.openxmlformats.org/spreadsheetml/2006/main" count="4831" uniqueCount="472">
  <si>
    <t>Name</t>
  </si>
  <si>
    <t>Age</t>
  </si>
  <si>
    <t>Gender</t>
  </si>
  <si>
    <t>Phase</t>
  </si>
  <si>
    <t>Current revenue from fruits and veg</t>
  </si>
  <si>
    <t>Current costs of production for fruits and veg</t>
  </si>
  <si>
    <t>Previous revenue from fruit and veg</t>
  </si>
  <si>
    <t>Previous cost of production for fruits andveg</t>
  </si>
  <si>
    <t>Location</t>
  </si>
  <si>
    <t>Counterfactual</t>
  </si>
  <si>
    <t>Disability</t>
  </si>
  <si>
    <t>Membership</t>
  </si>
  <si>
    <t>Savings amount</t>
  </si>
  <si>
    <t>Willingness to pay</t>
  </si>
  <si>
    <t>Group/Location</t>
  </si>
  <si>
    <t>No</t>
  </si>
  <si>
    <t>FARMERS</t>
  </si>
  <si>
    <t xml:space="preserve"> (%) Informal economy</t>
  </si>
  <si>
    <t xml:space="preserve"> (%) Formal economy</t>
  </si>
  <si>
    <t xml:space="preserve"> (%)No loan</t>
  </si>
  <si>
    <t>Typical loan value</t>
  </si>
  <si>
    <t xml:space="preserve">Discretionary expenditure  </t>
  </si>
  <si>
    <t>Willingness to accept compensation</t>
  </si>
  <si>
    <t>Pre-CASH value of support</t>
  </si>
  <si>
    <t>Post-CASH value of support</t>
  </si>
  <si>
    <t xml:space="preserve"> Demographic information</t>
  </si>
  <si>
    <t>Outcome 1: Profit levels</t>
  </si>
  <si>
    <t>Outcome 2: Group dynamics</t>
  </si>
  <si>
    <t>Outcome 3: Security from VICOBA savings</t>
  </si>
  <si>
    <t xml:space="preserve">Outcome 4: Security from WEDTF savings </t>
  </si>
  <si>
    <t>Outcome 6: Convenience of WEDTF</t>
  </si>
  <si>
    <t>Outcome 7: Female financial independence</t>
  </si>
  <si>
    <t>Outcome 8: TASAF usage</t>
  </si>
  <si>
    <t>Group rating of relations within group becoming stronger</t>
  </si>
  <si>
    <t>Stakeholder</t>
  </si>
  <si>
    <t>Outcome area</t>
  </si>
  <si>
    <t>More time</t>
  </si>
  <si>
    <t>Any loss of income</t>
  </si>
  <si>
    <t>VSO</t>
  </si>
  <si>
    <t>X</t>
  </si>
  <si>
    <t>Y</t>
  </si>
  <si>
    <t>Z</t>
  </si>
  <si>
    <t>Farmers</t>
  </si>
  <si>
    <t xml:space="preserve">Outcome 5: Microfinance interest payments </t>
  </si>
  <si>
    <t>Trader</t>
  </si>
  <si>
    <t>UWZ</t>
  </si>
  <si>
    <t>Community</t>
  </si>
  <si>
    <r>
      <t xml:space="preserve">Value of </t>
    </r>
    <r>
      <rPr>
        <b/>
        <sz val="11"/>
        <color indexed="10"/>
        <rFont val="Calibri"/>
        <family val="2"/>
      </rPr>
      <t>benefit A</t>
    </r>
  </si>
  <si>
    <r>
      <t xml:space="preserve">Value of </t>
    </r>
    <r>
      <rPr>
        <b/>
        <sz val="11"/>
        <color indexed="10"/>
        <rFont val="Calibri"/>
        <family val="2"/>
      </rPr>
      <t>benefit B</t>
    </r>
  </si>
  <si>
    <r>
      <t xml:space="preserve">Value of </t>
    </r>
    <r>
      <rPr>
        <b/>
        <sz val="11"/>
        <color indexed="10"/>
        <rFont val="Calibri"/>
        <family val="2"/>
      </rPr>
      <t>benefit C</t>
    </r>
  </si>
  <si>
    <t>WEDTF member</t>
  </si>
  <si>
    <t>Phase 1</t>
  </si>
  <si>
    <t>Phase 2</t>
  </si>
  <si>
    <t>Population</t>
  </si>
  <si>
    <t>HOTELS</t>
  </si>
  <si>
    <t>Organisational information</t>
  </si>
  <si>
    <t>Month &amp; Year of participation</t>
  </si>
  <si>
    <t>Mode of engagement</t>
  </si>
  <si>
    <t>Outcome: Profit level</t>
  </si>
  <si>
    <t>Increased monthly profit</t>
  </si>
  <si>
    <t>[Open text]</t>
  </si>
  <si>
    <t>TRADER</t>
  </si>
  <si>
    <t>COMMUNITY</t>
  </si>
  <si>
    <t>Considering commercial fruit and veg farmining</t>
  </si>
  <si>
    <t>Degree of representativeness of view</t>
  </si>
  <si>
    <t>Explanation</t>
  </si>
  <si>
    <t>Outcome 1: Switch to commercial farming</t>
  </si>
  <si>
    <t>MKATALENI(MKATALENI)</t>
  </si>
  <si>
    <t xml:space="preserve"> MKOROFI SI MWENZETU(DONGE CHECHELE)</t>
  </si>
  <si>
    <t>Group names</t>
  </si>
  <si>
    <t xml:space="preserve">Membership </t>
  </si>
  <si>
    <t>Uwamwima</t>
  </si>
  <si>
    <t>15-25</t>
  </si>
  <si>
    <t>26-29</t>
  </si>
  <si>
    <t>30-49</t>
  </si>
  <si>
    <t>50+</t>
  </si>
  <si>
    <t>Male</t>
  </si>
  <si>
    <t>Female</t>
  </si>
  <si>
    <t>New member</t>
  </si>
  <si>
    <t>Yes</t>
  </si>
  <si>
    <t>Carer</t>
  </si>
  <si>
    <t>Personal</t>
  </si>
  <si>
    <t>N/A</t>
  </si>
  <si>
    <t>No. of members</t>
  </si>
  <si>
    <t>Loss of income</t>
  </si>
  <si>
    <t>Group rating</t>
  </si>
  <si>
    <t>Community rating</t>
  </si>
  <si>
    <t>In town</t>
  </si>
  <si>
    <t>Out of town</t>
  </si>
  <si>
    <t>Direct with farmer</t>
  </si>
  <si>
    <t>Trader location</t>
  </si>
  <si>
    <t>School type</t>
  </si>
  <si>
    <t>Primary</t>
  </si>
  <si>
    <t>Secondary</t>
  </si>
  <si>
    <t>Both</t>
  </si>
  <si>
    <t xml:space="preserve">WEDTF </t>
  </si>
  <si>
    <t>FULL GROUP NAMES</t>
  </si>
  <si>
    <t>Need to input location into "DROP DOWN VALUES" worksheet.</t>
  </si>
  <si>
    <t>Frequency of purchase (include period e.g. per month/quarter)</t>
  </si>
  <si>
    <t>(months)  Pre-CASH length of support</t>
  </si>
  <si>
    <t xml:space="preserve"> (months)Post-CASH length of support</t>
  </si>
  <si>
    <t>HAMADI MAKAME JUMA</t>
  </si>
  <si>
    <t>ALI KOMBO JUMA</t>
  </si>
  <si>
    <t>HALIMA HAJI OMARI</t>
  </si>
  <si>
    <t>MAULID IDDI JUMA</t>
  </si>
  <si>
    <t>LIPI MRISHO NASIBU</t>
  </si>
  <si>
    <t>MTUMWA USSI MTUMWENI</t>
  </si>
  <si>
    <t>MWAJUMA WAHIDI</t>
  </si>
  <si>
    <t>ZAMIRI MSHENGA JUMA</t>
  </si>
  <si>
    <t>KOMBO KHAMISI KHATIBU</t>
  </si>
  <si>
    <t>MLIVYO SILIMA JUMA</t>
  </si>
  <si>
    <t>JOHARI OMARY JUMA</t>
  </si>
  <si>
    <t xml:space="preserve">RIZIKI MOHAMED </t>
  </si>
  <si>
    <t>TATU ALLY HAJI</t>
  </si>
  <si>
    <t>MTUMWA JUMA CHANDE</t>
  </si>
  <si>
    <t>MWAJUMA JUMA KHAMIS</t>
  </si>
  <si>
    <t>NA</t>
  </si>
  <si>
    <t>MWANAHAWA ALI MTUMWA</t>
  </si>
  <si>
    <t>NASSOR BAKAR NASSOR</t>
  </si>
  <si>
    <t>MGENI ABDALA ABEID</t>
  </si>
  <si>
    <t xml:space="preserve">FATUMA RAJABU MWINYI </t>
  </si>
  <si>
    <t>SALAMA SHAAME YAHAYA</t>
  </si>
  <si>
    <t>RAHMA SAID HAJI FAIDA</t>
  </si>
  <si>
    <t>BUTURI KITADI KIDAWA</t>
  </si>
  <si>
    <t>yes</t>
  </si>
  <si>
    <t>no</t>
  </si>
  <si>
    <t>YES</t>
  </si>
  <si>
    <t>NDAMU JUMA HAJI</t>
  </si>
  <si>
    <t>HASSAN KHAMIS OMAR</t>
  </si>
  <si>
    <t>ABASI FAKI HAJI</t>
  </si>
  <si>
    <t>SHARIF MAKAME</t>
  </si>
  <si>
    <t>SITI HAMAD ALI</t>
  </si>
  <si>
    <t>PILI KASHINDE ITIMBA</t>
  </si>
  <si>
    <t>ALI MAPALALA MAGANGA</t>
  </si>
  <si>
    <t>KASHINDE ITIMBA MAIGE</t>
  </si>
  <si>
    <t>RICHARD IPEYU MABISI</t>
  </si>
  <si>
    <t>HASSANI JUMA MAKAME</t>
  </si>
  <si>
    <t>MWAJUMA RAJAB NZIGE</t>
  </si>
  <si>
    <t>PILI RAJAB NZIGE</t>
  </si>
  <si>
    <t>REHEMA RAJAB NZIGE</t>
  </si>
  <si>
    <t>MARITA MASESA NYALAMA</t>
  </si>
  <si>
    <t>RUSIA NDELELE HOYELO</t>
  </si>
  <si>
    <t>MOSSI RAJAB NZIGE</t>
  </si>
  <si>
    <t>TATU RAJAB MAFUATAHA</t>
  </si>
  <si>
    <t>FATMA SEIF MTOO</t>
  </si>
  <si>
    <t>MGENI RAJAB IDDI</t>
  </si>
  <si>
    <t>ZAKIA SHABANI BUNDALA</t>
  </si>
  <si>
    <t>RUKASI JUMA RUKASI</t>
  </si>
  <si>
    <t>Daily</t>
  </si>
  <si>
    <t>200-300</t>
  </si>
  <si>
    <t>Not quantified, however, it was discussed that the hotel has received favorable customer reviews on its produce since switching to Uwamwima.</t>
  </si>
  <si>
    <t>Blue Oyster Hotel</t>
  </si>
  <si>
    <t>3-5days</t>
  </si>
  <si>
    <t>Two years ago</t>
  </si>
  <si>
    <t>2-3days</t>
  </si>
  <si>
    <t>Mazsons Hotel</t>
  </si>
  <si>
    <t>RASHID ZARI</t>
  </si>
  <si>
    <t>OTHMAN YASIN</t>
  </si>
  <si>
    <t>OMAR ABDALLAH SAID</t>
  </si>
  <si>
    <t>SULAIMAN HASSAN HAJI</t>
  </si>
  <si>
    <t>KASSIM MOHAMED YAKUT</t>
  </si>
  <si>
    <t>OTHUMAN BILAL OTHMAN</t>
  </si>
  <si>
    <t>30-39</t>
  </si>
  <si>
    <t>BORA IMANI</t>
  </si>
  <si>
    <t>KHERI KHAMISI AME</t>
  </si>
  <si>
    <t>SALAMA HUSSEIN MAKAME</t>
  </si>
  <si>
    <t>HAMDANI KHATIB MUME</t>
  </si>
  <si>
    <t>MWASHAMBA JUMA KISIWA</t>
  </si>
  <si>
    <t>FATMA RASHID  SALUMU</t>
  </si>
  <si>
    <t xml:space="preserve">MWATIKO AME JECHA </t>
  </si>
  <si>
    <t>SANURA JUMA HAJI</t>
  </si>
  <si>
    <t>SALAMA ALI VUAI alama Ali Vuai</t>
  </si>
  <si>
    <t>ASIA JOSEPH ANTHONY</t>
  </si>
  <si>
    <t>FATMA ALI IDDI</t>
  </si>
  <si>
    <t xml:space="preserve">Uwamwima </t>
  </si>
  <si>
    <t>TUJIPANGE (UNGUJA UKUU TINDINI)</t>
  </si>
  <si>
    <t>BORA IMANI (KIVUNGE)</t>
  </si>
  <si>
    <t>TUWE WASTAHAMILIVU (DONGE MCHANGANI)</t>
  </si>
  <si>
    <t>SALMA JASHO FAKI</t>
  </si>
  <si>
    <t>KHAMISI KHATIBU OMARI</t>
  </si>
  <si>
    <t>MOSI JUMA ALI</t>
  </si>
  <si>
    <t>Most of us have small patches of land with low yields. If we had been involved in the project our economic situation would be bad.  We did not have adequate knowledge and experience in vegetable and fruit production.  Therefore, both the production and return to investment were too low to enable us afford the basic necessities of life especially our children’s education and other household needs.</t>
  </si>
  <si>
    <t>1</t>
  </si>
  <si>
    <t>There would have been poor relations among group members. As of now, they are united and they provide saving and credit services to group members. The group was found after being  involved in the project otherwise, it would not have been started.  Previously, they were working individually.  There is a strong bondage amongst the group members. We are at each other's help and our group relations are very intact and strong. Bora Imani -Kivunge farmers group remains the backbone of development and progress in our community.</t>
  </si>
  <si>
    <t>Our financial situation would have been poor if we had not been involved in the project. The CASH project has brought us together as vegetable and fruit farmers in the community.  Many of the group members have been able to borrow and share the agricultural tools and equipments owned by the group such as the match money pump, knap sack sprayer and water pump which has resulted into a lot of cost savings for the group members as well as increased productivity o vegetables and fruits. Our income has almost doubled since the start of the project without which we would not have been able to afford basic needs of life for ourselves and children.</t>
  </si>
  <si>
    <t xml:space="preserve">There is no other microfinance institutions offering an interest similar to that of  WEDTF within our community. If we had not been involved in this project, we would not have started the saving and credit (VIKOBA) scheme where members have received loans at 10% interest rate though this amount is repaid back to the loan client at the end of the saving ad credit cycle. In effect, interest charges are part of a group' members own savings.  </t>
  </si>
  <si>
    <t xml:space="preserve">If we had not been involved in this project, we would not have formed Bora Iman, able to access and manage our financing scheme. The savings and credit groups in Kivunge shehia were formed after learning from our model. </t>
  </si>
  <si>
    <t>It would have been very difficult for me to gain financial independence. if I had not been involved in this project. Participation in the CASH project has helped me provide support to all the family members including my husband and children. I am the bread winner of the home. I earn more from the sale of vegetables and fruits that what my husband brings in from fishing.</t>
  </si>
  <si>
    <t xml:space="preserve">My husband is a fisherman. He is one and off.  When he is away, I have to provide for the family needs from the sales of vegetables and fruits. I would be totally dependent on my husband if I had not been involved in the project. </t>
  </si>
  <si>
    <t xml:space="preserve">We would not be working amicably together and there would be weak relations amongst ourselves. We would not be having proper knowledge and skills on vegetable and fruit production. In addition, we would not be practicing Commercial Agriculture (record keeping)and therefore, incurring huge losses  </t>
  </si>
  <si>
    <t>Each one would be on their own and operating individually if we had not been involved in the project. There would be regular family and community conflicts amongst the residents</t>
  </si>
  <si>
    <t xml:space="preserve">We would not be able to send our children to school. Life would have come to a halt with limited options. Worse of all, we would be a highly dependent community. We would have missed   the social protection /emergency contributions and support from members which have helped many members to attend to eventualities like death of a relative </t>
  </si>
  <si>
    <t xml:space="preserve">If we had not been involved in this project, we would not have started the saving and loan scheme which offers no interest charges on loans received by group members. WEDTF and the VSO Volunteers (Matthias and Heshbon)  trained us on savings and loan management. Particular attention was paid to the advantages and disadvantages of securing an external loan. </t>
  </si>
  <si>
    <t xml:space="preserve">If we had not been involved in this project, we would not have formed the group. It is VSO that linked us to WEDTF where we have been able to benefit from the revolving Agricultural loans scheme. </t>
  </si>
  <si>
    <t xml:space="preserve">The household welfare would be very bad since some of the women would not even receive any assistance from their husbands.  We would not be able to access personal needs such as “good clothing". </t>
  </si>
  <si>
    <t>Our household income earnings would still be too low since majority of the group members  were not having access to agricultural extension services coupled with the use of low yielding varieties of vegetables and fruits .Certainly, the production of vegetables and fruits would be too low and we would not have made economic strides whose fruits we are currently enjoying. Women would only be involved in non-productive activities at home.</t>
  </si>
  <si>
    <t>We would be having weak/poor relations amongst ourselves as we would not know each other.  We would not  be assisting each other in time of need .</t>
  </si>
  <si>
    <t>1. The financial situation would have been really very appalling because  we would  not be having adequate funds to purchase agricultural inputs.
2. We would have missed the social protection/emergency fund service which has helped many members to attend to eventualities like death of a relative
3. Group members would not be able to afford access the basic household needs like health, school fees for our children and food</t>
  </si>
  <si>
    <t>If we had not been involved in this project, we would not have started the VICOBA scheme and we were linked to JUMUIKA for external credit access and additional support. We have just been involved with WEDTF where two of our group members accessed the Cash project loans.</t>
  </si>
  <si>
    <t>If we had not been involved in the CASH project, as women we would still be at home doing nothing and  largely financially dependent on our husbands  since our incomes would remain low</t>
  </si>
  <si>
    <t xml:space="preserve"> We would not be working amicably together and strong relations amongst ourselves. We would not be having proper knowledge and skills on vegetable and fruit production. In addition, we would not be practicing Commercial Agriculture (record keeping)and therefore, incurring huge losses.</t>
  </si>
  <si>
    <t xml:space="preserve">If we had not been involved in this project, each one would be working individually and certainly our relations would be extremely weak. We would not have started the saving and credit scheme and nearly none of us would be engaged in vegetable and fruit production. </t>
  </si>
  <si>
    <t xml:space="preserve">1. We would be dependants on our husbands
2. We would have failed to send children to school
3. We would have failed to access basic medical care </t>
  </si>
  <si>
    <t>If we had not been involved in this project, we would not be able to access low interest agricultural loans from the CASH project.  Secondly, we would not have started the saving and loan scheme which offers no interest charges to the members who receive loans</t>
  </si>
  <si>
    <t xml:space="preserve"> Without having been involved in this project, most of the members would be financially dependent on their husbands.</t>
  </si>
  <si>
    <t>Group members especially women would be very poor and largely dependent on men. Some of the women in the group would not have acquired their own land ad and constructed houses.  Our income would be too low to afford the basic necessities of life like education of our children and we would register losses in farming activities</t>
  </si>
  <si>
    <t xml:space="preserve">1. There would have been very few  farmers in the vegetable and fruit sector in Donge community 
.2. Our group would be not be formed 
3. We would have not been able to access loans from group so as invest in the income generating activities mainly vegetables and fruit production. </t>
  </si>
  <si>
    <t xml:space="preserve">1. The financial situation would have been really very appalling because we would not be having adequate funds to purchase agricultural inputs.
2. We would have missed the social protection/emergency fund service which has helped many members to attend to eventualities like death of a relative
3. Group members would not be able to afford access the basic household needs like health, school fees for our children and food) </t>
  </si>
  <si>
    <t>If we had not been involved in this project, we would not have started the saving and loan scheme which offers no interest charges to the members who receive loans.</t>
  </si>
  <si>
    <t>We would be relying on our husbands for most of our needs as the alternative income from other activities like mat and coconut leaves knitting is not only inadequate but seasonal</t>
  </si>
  <si>
    <t>TATU ISSA JUMA</t>
  </si>
  <si>
    <t>PAVU VUAI MCHA</t>
  </si>
  <si>
    <t>MWASHEHE ALI FAKI</t>
  </si>
  <si>
    <t>MKASI MAKAME YUSSUF</t>
  </si>
  <si>
    <t>FATMA ADAM KHAMIS</t>
  </si>
  <si>
    <t>TUMUAMINI MUNGU (KIVUNGE)</t>
  </si>
  <si>
    <t>JAILAN KHAMIS</t>
  </si>
  <si>
    <t>Before the project we had no other alternative sources of income. We were depend most from other peple to survive</t>
  </si>
  <si>
    <t>The whole group would have dispersed 
we wouldn’t have practice faiming</t>
  </si>
  <si>
    <t>Not quantified,</t>
  </si>
  <si>
    <t>This group has not taken any loan frm WEDTF</t>
  </si>
  <si>
    <t>We would have tried businesss like  star fish selling</t>
  </si>
  <si>
    <t>BAKARI KOMBO HAJI</t>
  </si>
  <si>
    <t>MARIUM FERUZ</t>
  </si>
  <si>
    <t>NAALI SAID JUMA</t>
  </si>
  <si>
    <t>KHAMISI KHATIBU OMARY</t>
  </si>
  <si>
    <t>MWANAKOMBO HAMISI</t>
  </si>
  <si>
    <t>AZALI JUMA ALI</t>
  </si>
  <si>
    <t>ASHA MAULID</t>
  </si>
  <si>
    <t>NAMBOTO HAJI MOSI</t>
  </si>
  <si>
    <t>JUMA KHASSIM HAJI</t>
  </si>
  <si>
    <t>ASHA JUMA OTHUMANI</t>
  </si>
  <si>
    <t>TATU MAKAME KHAMISI</t>
  </si>
  <si>
    <t xml:space="preserve">TATU SIMAI HIJA </t>
  </si>
  <si>
    <t>TATU HASSANI NDEREMA</t>
  </si>
  <si>
    <t>FATMA USSI JUMA</t>
  </si>
  <si>
    <t>USSI JUMA OTHUMANI</t>
  </si>
  <si>
    <t>TUMU ALIE</t>
  </si>
  <si>
    <t>NASSOR BAKARI</t>
  </si>
  <si>
    <t>RAYA ALI ZUBERI</t>
  </si>
  <si>
    <t>ALI ZUBERI</t>
  </si>
  <si>
    <t>MTUMWA HUSSEIN MAKAME</t>
  </si>
  <si>
    <t>INNE ALI OMARY</t>
  </si>
  <si>
    <t>RAHMA RASHID MOHAMED</t>
  </si>
  <si>
    <t>MOHAMED FAKI HAJI</t>
  </si>
  <si>
    <t xml:space="preserve">NYANGE ALI MLEKWA </t>
  </si>
  <si>
    <t>NDAME MAKAME</t>
  </si>
  <si>
    <t>SALAMA HAJI</t>
  </si>
  <si>
    <t>MWANAALI MBARUKU MTUMWA</t>
  </si>
  <si>
    <t>JUMA SIMON MABISI</t>
  </si>
  <si>
    <t>JUMA PASKAL MACHIBYA</t>
  </si>
  <si>
    <t>MOHAMED ISSA</t>
  </si>
  <si>
    <t>It is reported that many women and disabled persons in the community perceive fruit and vegetable production as a viable and profitable business. Presently, a large section of the community is involved in vegetable and fruit growing. Farmers have substituted sweet potatoes with Vegetables and fruits. Production of sweet potatoes is sadly diminishing and disappearing!. Members believe, Donge Mchangani community contributes a large share (more than a half) of fruits (watermelon) and vegetables supplied in Mwanakwere and Darajani Market. A good number of the group members are gradually adopting vegetable and fruit  growing though they had initially joined the group to access saving and credit scheme.</t>
  </si>
  <si>
    <t xml:space="preserve">Vegetable and fruit produciton ranks in the first position in terms of returns to investment. Besides, most of the vegetables and fruits being promoted take a very short period of time to mature and harvesting. These two sub-sectors have attracted a lot of community involvement and participation of the unemployed youth. A good number of women and youth farmers attended the trainings have now gained expertise, skills and have indeed benefited immensely. </t>
  </si>
  <si>
    <t>Many women and disabled persons in the community perceive fruit and vegetable production as a viable and profitable business. A growing number of community members is gradually getting into vegetable and fruit production. This explains the new members we have in our group</t>
  </si>
  <si>
    <t>Vegetable and fruit production is perceived as a viable and profitable business within Kivunge Community. Many youth and women have taken it up. The biggest challenge to entry of community members is availability of water for irrigation to produce throughout the year.</t>
  </si>
  <si>
    <t>Most of us were have left seed weed farming and searching for seafood’s. We have been able to access household needs with   increased incomes from the sale of vegetables and fruits .Before the project, we were purchasing most of the food at home, but these days, we grow our own food and we get our money timely after the sale of vegetables and fruits. Generally, women perceive commercial and vegetable fruit production as a viable and profitable business. The only challenge we have is only inadequate access to water sources for irrigation and better irrigation facilities like drip irrigation kits.</t>
  </si>
  <si>
    <t>Outcome</t>
  </si>
  <si>
    <t>DI - Name</t>
  </si>
  <si>
    <t>DI - Age</t>
  </si>
  <si>
    <t>1- Current revenue from fruits and veg</t>
  </si>
  <si>
    <t>1- Counterfactual</t>
  </si>
  <si>
    <t>2 - Counterfactual</t>
  </si>
  <si>
    <t>3-Counterfactual</t>
  </si>
  <si>
    <t>4-Counterfactual</t>
  </si>
  <si>
    <t>5-Counterfactual</t>
  </si>
  <si>
    <t>6-Counterfactual</t>
  </si>
  <si>
    <t>7-Counterfactual</t>
  </si>
  <si>
    <t>8-Counterfactual</t>
  </si>
  <si>
    <t>DI-Gender</t>
  </si>
  <si>
    <t>DI-Membership</t>
  </si>
  <si>
    <t>DI-New member</t>
  </si>
  <si>
    <t>DI-Disability</t>
  </si>
  <si>
    <t>DI-Group/Location</t>
  </si>
  <si>
    <t>DI-WEDTF member</t>
  </si>
  <si>
    <t>DI-Phase</t>
  </si>
  <si>
    <t>Savings amount2</t>
  </si>
  <si>
    <t>Willingness to pay3</t>
  </si>
  <si>
    <t>Willingness to pay4</t>
  </si>
  <si>
    <t>1-CF factor</t>
  </si>
  <si>
    <t>Group</t>
  </si>
  <si>
    <t>We would not be working amicably together and there would be weak relations amongst ourselves.</t>
  </si>
  <si>
    <t>MODEL</t>
  </si>
  <si>
    <t>Attribution</t>
  </si>
  <si>
    <t>MEMBER GROUP</t>
  </si>
  <si>
    <t>CASH PARTNER</t>
  </si>
  <si>
    <t>OTHER</t>
  </si>
  <si>
    <t>CASH ATTRIBUTION</t>
  </si>
  <si>
    <t>Stakeholder group2</t>
  </si>
  <si>
    <t>Frequency</t>
  </si>
  <si>
    <t>Monthly</t>
  </si>
  <si>
    <t>NET PROFIT LESS COUNTERFACTUAL</t>
  </si>
  <si>
    <t>2-CF Factor</t>
  </si>
  <si>
    <t>2-Net TOTAL benefit</t>
  </si>
  <si>
    <t>For the same group, why do these have different counterfactuals?</t>
  </si>
  <si>
    <t>Notes</t>
  </si>
  <si>
    <t>1-CF Factor</t>
  </si>
  <si>
    <t>3-CF Factor</t>
  </si>
  <si>
    <t>4-CF Factor</t>
  </si>
  <si>
    <t>5-CF Factor</t>
  </si>
  <si>
    <t>6-CF Factor</t>
  </si>
  <si>
    <t>7-CF Factor</t>
  </si>
  <si>
    <t>3-Net TOTAL benefit</t>
  </si>
  <si>
    <t>4-Net TOTAL benefit</t>
  </si>
  <si>
    <t>5-Net TOTAL benefit</t>
  </si>
  <si>
    <t>6-Net TOTAL benefit</t>
  </si>
  <si>
    <t>7-Net TOTAL benefit</t>
  </si>
  <si>
    <t>Not possible to transition to commercial farming without support from the project. No independent income prior to project.</t>
  </si>
  <si>
    <t>Not possible to transition to commercial farming without support from the project. Expect to be loss-making if did it solo.</t>
  </si>
  <si>
    <t>Not possible to transition to commercial farming without support from the project. Volume of production too low for men who lack technical skills and women not involved at all.</t>
  </si>
  <si>
    <t>Not possible to transition to commercial farming without support from the project. Plots too small for income generation.</t>
  </si>
  <si>
    <t>OUTCOME 1: PROFIT LEVELS</t>
  </si>
  <si>
    <t>OUTCOME 2: GROUP DYNAMICS</t>
  </si>
  <si>
    <t>Review questions</t>
  </si>
  <si>
    <t>The whole group would have dispersed we wouldn’t have practice faiming</t>
  </si>
  <si>
    <t>OUTCOME 3: Financial security - VICOBA</t>
  </si>
  <si>
    <t>OUTCOME 4: Financial security - WEDTF</t>
  </si>
  <si>
    <t>OUTCOME 5: Microfinance interest payments</t>
  </si>
  <si>
    <t>OUTCOME 6: Convenience of WEDTF</t>
  </si>
  <si>
    <t>OUTCOME 7: Female financial independence</t>
  </si>
  <si>
    <t>Removed men providing counterfactual of N/A</t>
  </si>
  <si>
    <t>FARMER COUNTERFACTUALS: ASSIGNING A FACTOR</t>
  </si>
  <si>
    <t>1 = outcome would have been achieved even without the project</t>
  </si>
  <si>
    <t>0.5 = some outcome would have been achieved but not as much as that achieved by the project</t>
  </si>
  <si>
    <t>0 = outcome not possible without the project</t>
  </si>
  <si>
    <t>KEY: CF FACTOR</t>
  </si>
  <si>
    <t>Group did not exist before the project. Individuals did not previously work together.</t>
  </si>
  <si>
    <t>Group would have split up in the absence of the project</t>
  </si>
  <si>
    <t>Social protection/emergency contributions assumed to come from VICOBA. No alternative to this prior to project.</t>
  </si>
  <si>
    <t>Does not comment on role of WEDTF</t>
  </si>
  <si>
    <t>Outcomes achieved without WEDTF</t>
  </si>
  <si>
    <t>Was WEDTF used to buy agricultural inputs?</t>
  </si>
  <si>
    <t>Does not comment on role of VICOBA scheme here. However, in CF5 response below, it states that VICOBA existed and previously no other option.</t>
  </si>
  <si>
    <t>Does not comment on role of VICOBA scheme here. However, response to CF5 shows that no alternative to VICOBA prior to project.</t>
  </si>
  <si>
    <t>Not convinced that there is any reduced interest rate (i.e. they are comparing between two different schemes which are project specific. WEDTF appears to be agricultural loan and VICOBA non-agricultural). Counterfactual appears to be irrelevant…</t>
  </si>
  <si>
    <t>This appears to be commenting on VICOBA…</t>
  </si>
  <si>
    <t>Nothing on time savings.</t>
  </si>
  <si>
    <t>Does this group have any WEDTF savings?</t>
  </si>
  <si>
    <t>No observation on profit but assume it to be same as below i.e. the more complete answer.</t>
  </si>
  <si>
    <t>What does N/A mean?</t>
  </si>
  <si>
    <t>Ex</t>
  </si>
  <si>
    <t>Bora Imani</t>
  </si>
  <si>
    <t>100,000 - 450,000</t>
  </si>
  <si>
    <t>Average (TSH)</t>
  </si>
  <si>
    <t>Range (TSH)</t>
  </si>
  <si>
    <t>Mkatleni</t>
  </si>
  <si>
    <t>0-10,000</t>
  </si>
  <si>
    <t>Donge Chechele</t>
  </si>
  <si>
    <t>0-25,000</t>
  </si>
  <si>
    <t>Kivunge</t>
  </si>
  <si>
    <t>8000-20000</t>
  </si>
  <si>
    <t>Donge Mchangani</t>
  </si>
  <si>
    <t>0-36000</t>
  </si>
  <si>
    <t>Member</t>
  </si>
  <si>
    <t>Proportional willingness to accept compensation</t>
  </si>
  <si>
    <t>Model</t>
  </si>
  <si>
    <t>Average</t>
  </si>
  <si>
    <t>Net value</t>
  </si>
  <si>
    <t>Characteristic</t>
  </si>
  <si>
    <t>Farmer</t>
  </si>
  <si>
    <t>Profit level</t>
  </si>
  <si>
    <t>Seasonal</t>
  </si>
  <si>
    <t>Group cohesion</t>
  </si>
  <si>
    <t>Value comment</t>
  </si>
  <si>
    <t>Average of characteristic</t>
  </si>
  <si>
    <t>Frequency factor</t>
  </si>
  <si>
    <t>Average of Benefit A</t>
  </si>
  <si>
    <t>Profit levels</t>
  </si>
  <si>
    <t>Security from VICOBA savings</t>
  </si>
  <si>
    <t>Security from WEDTF savings</t>
  </si>
  <si>
    <t>Female financial independence</t>
  </si>
  <si>
    <t xml:space="preserve">Increased Profit </t>
  </si>
  <si>
    <t>Increased Group cohesion</t>
  </si>
  <si>
    <t>Increased security from VICOBA</t>
  </si>
  <si>
    <t>Increased security from WEDTF</t>
  </si>
  <si>
    <t>Increased Financial autonomy</t>
  </si>
  <si>
    <t>Responses overruled by secondary research</t>
  </si>
  <si>
    <t>Total dependence</t>
  </si>
  <si>
    <t>Very difficult to gain opportunites for financial independence.</t>
  </si>
  <si>
    <t>No assistance from husbands</t>
  </si>
  <si>
    <t>Stay at home</t>
  </si>
  <si>
    <t>Mostly financial dependent on husbands. No indication of how a minority could gain income and therefore lacks credibility.</t>
  </si>
  <si>
    <t>Seasonal and insufficient income does not equate to financial autonomy.</t>
  </si>
  <si>
    <t>Secondary research does not indicate that star fish selling lends itself to financial autonomy.</t>
  </si>
  <si>
    <t>Awaiting one response from Frank</t>
  </si>
  <si>
    <t>Proxy value</t>
  </si>
  <si>
    <t xml:space="preserve">Proxy value </t>
  </si>
  <si>
    <t>Annual project value</t>
  </si>
  <si>
    <t>Uwamwima farmers</t>
  </si>
  <si>
    <t>Increased profit (Phase 1)</t>
  </si>
  <si>
    <t>UWZ farmers</t>
  </si>
  <si>
    <t>Increased profit (Phase 2)</t>
  </si>
  <si>
    <t>All farmers</t>
  </si>
  <si>
    <t>Increased group cohesion (Phase 1)</t>
  </si>
  <si>
    <t>Increased group cohesion (Phase 2)</t>
  </si>
  <si>
    <t>Increased security from VICOBA (Phase 1)</t>
  </si>
  <si>
    <t>Increased security from WEDTF (Phase 1)</t>
  </si>
  <si>
    <t>Increased security from VICOBA (Phase 2)</t>
  </si>
  <si>
    <t>Increased security from WEDTF (Phase 2)</t>
  </si>
  <si>
    <t>Female farmers</t>
  </si>
  <si>
    <t>Increased financial autonomy (Phase 1)</t>
  </si>
  <si>
    <t>Increased financial autonomy (Phase 2)</t>
  </si>
  <si>
    <t>Community member  - Uwamwima</t>
  </si>
  <si>
    <t>Community member  - UWZ</t>
  </si>
  <si>
    <t>Uwamwima farmer- Phase 1</t>
  </si>
  <si>
    <t>UWZ farmer - Phase 1</t>
  </si>
  <si>
    <t>Uwamwima farmer- Phase 2</t>
  </si>
  <si>
    <t>UWZ farmer - Phase 2</t>
  </si>
  <si>
    <t>Female farmer - Phase 1</t>
  </si>
  <si>
    <t>Female farmer - Phase 2</t>
  </si>
  <si>
    <t>Beneficiary database</t>
  </si>
  <si>
    <t xml:space="preserve"> Beneficiary database</t>
  </si>
  <si>
    <t>Source</t>
  </si>
  <si>
    <t>Number</t>
  </si>
  <si>
    <t>Assumption</t>
  </si>
  <si>
    <t>1 person per group</t>
  </si>
  <si>
    <t>Uwamwima community  - Phase 1</t>
  </si>
  <si>
    <t>UWZ community - Phase 1</t>
  </si>
  <si>
    <t>Uwamwima community  - Phase 2</t>
  </si>
  <si>
    <t>UWZ community - Phase 2</t>
  </si>
  <si>
    <t>Approx equal split</t>
  </si>
  <si>
    <t>Each group trades with 1 trader in local market</t>
  </si>
  <si>
    <t>Stone Town trader</t>
  </si>
  <si>
    <t>Local market trader</t>
  </si>
  <si>
    <t>Stone Town Traders - Phase 1</t>
  </si>
  <si>
    <t>Stone  TownTraders - Phase 2</t>
  </si>
  <si>
    <t>Project Manager</t>
  </si>
  <si>
    <t>Annualised proxy value</t>
  </si>
  <si>
    <t>Local market traders - Phase 1</t>
  </si>
  <si>
    <t>Local market traders - Phase 2</t>
  </si>
  <si>
    <t>Attribution (Data collection exercise)</t>
  </si>
  <si>
    <t>Discount rate</t>
  </si>
  <si>
    <t>Social discount rate</t>
  </si>
  <si>
    <t>Social research</t>
  </si>
  <si>
    <t xml:space="preserve">African Development Bank </t>
  </si>
  <si>
    <t>Benefit period</t>
  </si>
  <si>
    <t xml:space="preserve">Stakeholder </t>
  </si>
  <si>
    <t>Total period</t>
  </si>
  <si>
    <t>TOTAL</t>
  </si>
  <si>
    <t>Upper limit- trader tab</t>
  </si>
  <si>
    <t>Material outcome</t>
  </si>
  <si>
    <t>Net present value</t>
  </si>
  <si>
    <t>Cordaid funding</t>
  </si>
  <si>
    <t>Accenture funding</t>
  </si>
  <si>
    <t>CUSO funding</t>
  </si>
  <si>
    <t>VSO unrestricted funds</t>
  </si>
  <si>
    <t>In-kind contributions</t>
  </si>
  <si>
    <t>Unrenumerated partner expenditure</t>
  </si>
  <si>
    <t>Volunteer costs (additional economic)</t>
  </si>
  <si>
    <t>Total</t>
  </si>
  <si>
    <t>Costs (2014 baseline) - VSO calculation (see forex spreadsheet)</t>
  </si>
  <si>
    <t>Financial costs only</t>
  </si>
  <si>
    <t xml:space="preserve">Financial costs and match funding from partner/community </t>
  </si>
  <si>
    <t>`</t>
  </si>
  <si>
    <t>Community analysis and beneficiary database</t>
  </si>
  <si>
    <t xml:space="preserve">Commences 1 year after joining project </t>
  </si>
  <si>
    <t>1 year</t>
  </si>
  <si>
    <t xml:space="preserve">Commences 2 years after joining project </t>
  </si>
  <si>
    <t>3 years</t>
  </si>
  <si>
    <t>Value over benefit period</t>
  </si>
  <si>
    <t>Total value created (including well-being outcomes) - 6% discount rate</t>
  </si>
  <si>
    <t>Total value created (excluding well-being outcomes) - 6% discount rate</t>
  </si>
  <si>
    <t>Total value created (excluding well-being outcomes) - 10% discount rate</t>
  </si>
  <si>
    <t>SOCIAL COST BENEFIT MODEL: CASH PROJECT (PHASES 1 and 2)</t>
  </si>
  <si>
    <t>Discount rate (%)</t>
  </si>
  <si>
    <t>AFDB</t>
  </si>
  <si>
    <t>SCBA ratio (6% discount rate and including well-being outcomes)</t>
  </si>
  <si>
    <t>SCBA ratio (10% discount rate and including well-being outcomes)</t>
  </si>
  <si>
    <t>COSTS</t>
  </si>
  <si>
    <t>All  costs</t>
  </si>
  <si>
    <t>CBA ratio (6% discount rate and excluding well-being outcomes)</t>
  </si>
  <si>
    <t>CBA ratio (10% discount rate and excluding well-being outcomes)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</si>
</sst>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_(* #,##0.00_);_(* \(#,##0.00\);_(* &quot;-&quot;??_);_(@_)"/>
    <numFmt numFmtId="165" formatCode="\-"/>
    <numFmt numFmtId="166" formatCode="_(* #,##0_);_(* \(#,##0\);_(* &quot;-&quot;??_);_(@_)"/>
    <numFmt numFmtId="167" formatCode="0.0"/>
  </numFmts>
  <fonts count="22" x14ac:knownFonts="1">
    <font>
      <sz val="11"/>
      <color theme="1"/>
      <name val="Calibri"/>
      <family val="2"/>
      <scheme val="minor"/>
    </font>
    <font>
      <sz val="9"/>
      <color indexed="81"/>
      <name val="Tahoma"/>
      <family val="2"/>
    </font>
    <font>
      <b/>
      <sz val="9"/>
      <color indexed="81"/>
      <name val="Tahoma"/>
      <family val="2"/>
    </font>
    <font>
      <b/>
      <sz val="11"/>
      <color indexed="10"/>
      <name val="Calibri"/>
      <family val="2"/>
    </font>
    <font>
      <b/>
      <sz val="11"/>
      <color theme="1"/>
      <name val="Calibri"/>
      <family val="2"/>
      <scheme val="minor"/>
    </font>
    <font>
      <sz val="11"/>
      <color rgb="FFFF0000"/>
      <name val="Calibri"/>
      <family val="2"/>
      <scheme val="minor"/>
    </font>
    <font>
      <sz val="11"/>
      <color theme="1"/>
      <name val="Calibri"/>
      <family val="2"/>
      <scheme val="minor"/>
    </font>
    <font>
      <sz val="12"/>
      <color theme="1"/>
      <name val="Calibri"/>
      <family val="2"/>
      <scheme val="minor"/>
    </font>
    <font>
      <sz val="11"/>
      <color theme="1"/>
      <name val="Arial"/>
      <family val="2"/>
    </font>
    <font>
      <sz val="11"/>
      <color rgb="FF002060"/>
      <name val="Calibri"/>
      <family val="2"/>
      <scheme val="minor"/>
    </font>
    <font>
      <sz val="11"/>
      <name val="Calibri"/>
      <family val="2"/>
      <scheme val="minor"/>
    </font>
    <font>
      <sz val="8"/>
      <color theme="1"/>
      <name val="Calibri"/>
      <family val="2"/>
      <scheme val="minor"/>
    </font>
    <font>
      <sz val="8"/>
      <color theme="1"/>
      <name val="Arial"/>
      <family val="2"/>
    </font>
    <font>
      <sz val="9"/>
      <color theme="1"/>
      <name val="Calibri"/>
      <family val="2"/>
      <scheme val="minor"/>
    </font>
    <font>
      <b/>
      <sz val="11"/>
      <name val="Calibri"/>
      <family val="2"/>
      <scheme val="minor"/>
    </font>
    <font>
      <sz val="11"/>
      <color indexed="8"/>
      <name val="Calibri"/>
      <family val="2"/>
    </font>
    <font>
      <sz val="10"/>
      <name val="Arial"/>
      <family val="2"/>
    </font>
    <font>
      <u/>
      <sz val="10"/>
      <color theme="10"/>
      <name val="Arial"/>
      <family val="2"/>
    </font>
    <font>
      <b/>
      <sz val="11"/>
      <color theme="0"/>
      <name val="Calibri"/>
      <family val="2"/>
      <scheme val="minor"/>
    </font>
    <font>
      <u/>
      <sz val="11"/>
      <color theme="10"/>
      <name val="Calibri"/>
      <family val="2"/>
      <scheme val="minor"/>
    </font>
    <font>
      <b/>
      <u/>
      <sz val="11"/>
      <color theme="1"/>
      <name val="Calibri"/>
      <family val="2"/>
      <scheme val="minor"/>
    </font>
    <font>
      <i/>
      <sz val="11"/>
      <color rgb="FFFF0000"/>
      <name val="Calibri"/>
      <family val="2"/>
      <scheme val="minor"/>
    </font>
  </fonts>
  <fills count="17">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rgb="FFFF0000"/>
        <bgColor indexed="64"/>
      </patternFill>
    </fill>
    <fill>
      <patternFill patternType="solid">
        <fgColor rgb="FFFFC000"/>
        <bgColor indexed="64"/>
      </patternFill>
    </fill>
    <fill>
      <patternFill patternType="solid">
        <fgColor rgb="FFFFFF00"/>
        <bgColor theme="4" tint="0.79998168889431442"/>
      </patternFill>
    </fill>
    <fill>
      <patternFill patternType="solid">
        <fgColor theme="4" tint="0.79998168889431442"/>
        <bgColor indexed="64"/>
      </patternFill>
    </fill>
    <fill>
      <patternFill patternType="lightUp">
        <bgColor theme="2"/>
      </patternFill>
    </fill>
    <fill>
      <patternFill patternType="lightUp"/>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theme="4" tint="0.39997558519241921"/>
      </top>
      <bottom style="thin">
        <color theme="4" tint="0.39997558519241921"/>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theme="4" tint="0.39997558519241921"/>
      </top>
      <bottom/>
      <diagonal/>
    </border>
    <border>
      <left/>
      <right/>
      <top/>
      <bottom style="thin">
        <color theme="4" tint="0.39997558519241921"/>
      </bottom>
      <diagonal/>
    </border>
    <border>
      <left/>
      <right style="thin">
        <color theme="4" tint="0.39997558519241921"/>
      </right>
      <top/>
      <bottom/>
      <diagonal/>
    </border>
    <border>
      <left/>
      <right style="thin">
        <color theme="4" tint="0.39997558519241921"/>
      </right>
      <top/>
      <bottom style="thin">
        <color theme="4" tint="0.39997558519241921"/>
      </bottom>
      <diagonal/>
    </border>
    <border>
      <left/>
      <right style="thin">
        <color indexed="64"/>
      </right>
      <top style="thin">
        <color indexed="64"/>
      </top>
      <bottom style="thin">
        <color theme="4" tint="0.3999755851924192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2">
    <xf numFmtId="0" fontId="0" fillId="0" borderId="0"/>
    <xf numFmtId="164" fontId="6" fillId="0" borderId="0" applyFont="0" applyFill="0" applyBorder="0" applyAlignment="0" applyProtection="0"/>
    <xf numFmtId="9" fontId="15" fillId="0" borderId="0" applyFont="0" applyFill="0" applyBorder="0" applyAlignment="0" applyProtection="0"/>
    <xf numFmtId="43" fontId="16" fillId="0" borderId="0" applyFill="0" applyBorder="0" applyAlignment="0" applyProtection="0"/>
    <xf numFmtId="44" fontId="16" fillId="0" borderId="0" applyFill="0" applyBorder="0" applyAlignment="0" applyProtection="0"/>
    <xf numFmtId="0" fontId="17" fillId="0" borderId="0" applyNumberFormat="0" applyFill="0" applyBorder="0" applyAlignment="0" applyProtection="0">
      <alignment vertical="top"/>
      <protection locked="0"/>
    </xf>
    <xf numFmtId="0" fontId="16" fillId="0" borderId="0" applyNumberFormat="0" applyFill="0" applyBorder="0" applyAlignment="0" applyProtection="0"/>
    <xf numFmtId="0" fontId="16" fillId="0" borderId="0"/>
    <xf numFmtId="0" fontId="15" fillId="0" borderId="0"/>
    <xf numFmtId="164" fontId="15" fillId="0" borderId="0" applyFont="0" applyFill="0" applyBorder="0" applyAlignment="0" applyProtection="0"/>
    <xf numFmtId="9" fontId="6" fillId="0" borderId="0" applyFont="0" applyFill="0" applyBorder="0" applyAlignment="0" applyProtection="0"/>
    <xf numFmtId="0" fontId="19" fillId="0" borderId="0" applyNumberFormat="0" applyFill="0" applyBorder="0" applyAlignment="0" applyProtection="0"/>
  </cellStyleXfs>
  <cellXfs count="399">
    <xf numFmtId="0" fontId="0" fillId="0" borderId="0" xfId="0"/>
    <xf numFmtId="0" fontId="0" fillId="0" borderId="0" xfId="0" applyAlignment="1">
      <alignment horizontal="center"/>
    </xf>
    <xf numFmtId="0" fontId="0" fillId="0" borderId="1" xfId="0" applyBorder="1"/>
    <xf numFmtId="0" fontId="0" fillId="0" borderId="1" xfId="0" applyBorder="1" applyAlignment="1">
      <alignment horizontal="center"/>
    </xf>
    <xf numFmtId="0" fontId="4" fillId="0" borderId="0" xfId="0" applyFont="1" applyAlignment="1">
      <alignment horizontal="center"/>
    </xf>
    <xf numFmtId="0" fontId="4" fillId="0" borderId="0" xfId="0" applyFont="1"/>
    <xf numFmtId="0" fontId="4" fillId="2" borderId="0" xfId="0" applyFont="1" applyFill="1"/>
    <xf numFmtId="0" fontId="4" fillId="5" borderId="0" xfId="0" applyFont="1" applyFill="1"/>
    <xf numFmtId="0" fontId="4" fillId="4" borderId="0" xfId="0" applyFont="1" applyFill="1" applyAlignment="1"/>
    <xf numFmtId="2" fontId="0" fillId="0" borderId="0" xfId="0" applyNumberFormat="1"/>
    <xf numFmtId="0" fontId="0" fillId="0" borderId="0" xfId="0"/>
    <xf numFmtId="0" fontId="4" fillId="0" borderId="0" xfId="0" applyFont="1"/>
    <xf numFmtId="0" fontId="0" fillId="0" borderId="1" xfId="0" applyBorder="1"/>
    <xf numFmtId="0" fontId="0" fillId="0" borderId="0" xfId="0" applyAlignment="1">
      <alignment horizontal="right"/>
    </xf>
    <xf numFmtId="0" fontId="0" fillId="3" borderId="0" xfId="0" applyFill="1" applyAlignment="1">
      <alignment horizontal="right"/>
    </xf>
    <xf numFmtId="165" fontId="0" fillId="0" borderId="0" xfId="0" applyNumberFormat="1" applyBorder="1" applyAlignment="1">
      <alignment horizontal="left"/>
    </xf>
    <xf numFmtId="165" fontId="0" fillId="0" borderId="0" xfId="0" applyNumberFormat="1" applyBorder="1" applyAlignment="1">
      <alignment horizontal="right"/>
    </xf>
    <xf numFmtId="0" fontId="4" fillId="0" borderId="0" xfId="0" applyFont="1" applyAlignment="1">
      <alignment horizontal="right"/>
    </xf>
    <xf numFmtId="1" fontId="0" fillId="0" borderId="0" xfId="0" applyNumberFormat="1" applyAlignment="1">
      <alignment horizontal="left"/>
    </xf>
    <xf numFmtId="0" fontId="0" fillId="0" borderId="1" xfId="0" applyFill="1" applyBorder="1"/>
    <xf numFmtId="4" fontId="0" fillId="0" borderId="1" xfId="0" applyNumberFormat="1" applyBorder="1"/>
    <xf numFmtId="10" fontId="0" fillId="0" borderId="1" xfId="0" applyNumberFormat="1" applyBorder="1"/>
    <xf numFmtId="0" fontId="4" fillId="0" borderId="0" xfId="0" applyFont="1" applyFill="1" applyAlignment="1">
      <alignment horizontal="right"/>
    </xf>
    <xf numFmtId="0" fontId="5" fillId="0" borderId="0" xfId="0" applyFont="1"/>
    <xf numFmtId="0" fontId="4" fillId="2" borderId="0" xfId="0" applyFont="1" applyFill="1" applyAlignment="1">
      <alignment horizontal="center" vertical="center" textRotation="90" wrapText="1" readingOrder="2"/>
    </xf>
    <xf numFmtId="0" fontId="4" fillId="7" borderId="0" xfId="0" applyFont="1" applyFill="1" applyAlignment="1">
      <alignment horizontal="center" vertical="center" textRotation="90" wrapText="1" readingOrder="2"/>
    </xf>
    <xf numFmtId="0" fontId="0" fillId="0" borderId="0" xfId="0" applyAlignment="1">
      <alignment wrapText="1"/>
    </xf>
    <xf numFmtId="0" fontId="4" fillId="2" borderId="0" xfId="0" applyFont="1" applyFill="1" applyAlignment="1">
      <alignment wrapText="1"/>
    </xf>
    <xf numFmtId="3" fontId="0" fillId="0" borderId="1" xfId="0" applyNumberFormat="1" applyBorder="1"/>
    <xf numFmtId="49" fontId="0" fillId="0" borderId="0" xfId="0" applyNumberFormat="1"/>
    <xf numFmtId="49" fontId="4" fillId="2" borderId="0" xfId="0" applyNumberFormat="1" applyFont="1" applyFill="1" applyAlignment="1">
      <alignment horizontal="center" vertical="center" textRotation="90" wrapText="1" readingOrder="2"/>
    </xf>
    <xf numFmtId="49" fontId="0" fillId="0" borderId="1" xfId="0" quotePrefix="1" applyNumberFormat="1" applyFill="1" applyBorder="1"/>
    <xf numFmtId="0" fontId="7" fillId="0" borderId="1" xfId="0" applyFont="1" applyBorder="1"/>
    <xf numFmtId="0" fontId="0" fillId="0" borderId="1" xfId="0" applyFont="1" applyFill="1" applyBorder="1"/>
    <xf numFmtId="166" fontId="0" fillId="0" borderId="5" xfId="1" applyNumberFormat="1" applyFont="1" applyBorder="1"/>
    <xf numFmtId="166" fontId="0" fillId="0" borderId="1" xfId="1" applyNumberFormat="1" applyFont="1" applyBorder="1"/>
    <xf numFmtId="166" fontId="0" fillId="0" borderId="3" xfId="1" applyNumberFormat="1" applyFont="1" applyBorder="1"/>
    <xf numFmtId="166" fontId="6" fillId="0" borderId="1" xfId="1" applyNumberFormat="1" applyFont="1" applyBorder="1"/>
    <xf numFmtId="166" fontId="6" fillId="0" borderId="1" xfId="1" applyNumberFormat="1" applyFont="1" applyBorder="1" applyAlignment="1">
      <alignment horizontal="right"/>
    </xf>
    <xf numFmtId="166" fontId="6" fillId="0" borderId="1" xfId="1" applyNumberFormat="1" applyFont="1" applyBorder="1" applyAlignment="1">
      <alignment horizontal="right" vertical="top" wrapText="1"/>
    </xf>
    <xf numFmtId="166" fontId="8" fillId="0" borderId="1" xfId="1" applyNumberFormat="1" applyFont="1" applyBorder="1" applyAlignment="1">
      <alignment horizontal="right"/>
    </xf>
    <xf numFmtId="166" fontId="6" fillId="0" borderId="1" xfId="1" applyNumberFormat="1" applyFont="1" applyFill="1" applyBorder="1" applyAlignment="1">
      <alignment horizontal="right"/>
    </xf>
    <xf numFmtId="0" fontId="6" fillId="0" borderId="1" xfId="0" applyFont="1" applyBorder="1"/>
    <xf numFmtId="166" fontId="6" fillId="0" borderId="1" xfId="1" applyNumberFormat="1" applyFont="1" applyFill="1" applyBorder="1"/>
    <xf numFmtId="4" fontId="6" fillId="0" borderId="1" xfId="0" applyNumberFormat="1" applyFont="1" applyBorder="1"/>
    <xf numFmtId="10" fontId="6" fillId="0" borderId="1" xfId="0" applyNumberFormat="1" applyFont="1" applyBorder="1"/>
    <xf numFmtId="0" fontId="6" fillId="0" borderId="1" xfId="0" applyFont="1" applyFill="1" applyBorder="1"/>
    <xf numFmtId="49" fontId="6" fillId="0" borderId="1" xfId="0" quotePrefix="1" applyNumberFormat="1" applyFont="1" applyFill="1" applyBorder="1"/>
    <xf numFmtId="166" fontId="10" fillId="0" borderId="1" xfId="1" applyNumberFormat="1" applyFont="1" applyFill="1" applyBorder="1" applyAlignment="1">
      <alignment horizontal="right" vertical="top" wrapText="1"/>
    </xf>
    <xf numFmtId="166" fontId="10" fillId="0" borderId="1" xfId="1" applyNumberFormat="1" applyFont="1" applyBorder="1" applyAlignment="1">
      <alignment horizontal="right"/>
    </xf>
    <xf numFmtId="3" fontId="0" fillId="0" borderId="1" xfId="0" applyNumberFormat="1" applyFont="1" applyFill="1" applyBorder="1" applyAlignment="1">
      <alignment horizontal="right"/>
    </xf>
    <xf numFmtId="0" fontId="0" fillId="0" borderId="1" xfId="0" applyFont="1" applyFill="1" applyBorder="1" applyAlignment="1">
      <alignment horizontal="right"/>
    </xf>
    <xf numFmtId="0" fontId="6" fillId="0" borderId="1" xfId="0" applyFont="1" applyBorder="1" applyAlignment="1">
      <alignment horizontal="right"/>
    </xf>
    <xf numFmtId="0" fontId="6" fillId="0" borderId="6" xfId="0" applyFont="1" applyBorder="1" applyAlignment="1">
      <alignment horizontal="right"/>
    </xf>
    <xf numFmtId="3" fontId="0" fillId="0" borderId="1" xfId="0" applyNumberFormat="1" applyFont="1" applyBorder="1" applyAlignment="1">
      <alignment horizontal="right"/>
    </xf>
    <xf numFmtId="3" fontId="0" fillId="0" borderId="0" xfId="0" applyNumberFormat="1"/>
    <xf numFmtId="3" fontId="4" fillId="7" borderId="0" xfId="0" applyNumberFormat="1" applyFont="1" applyFill="1" applyAlignment="1">
      <alignment horizontal="center" vertical="center" textRotation="90" wrapText="1" readingOrder="2"/>
    </xf>
    <xf numFmtId="3" fontId="6" fillId="0" borderId="1" xfId="0" applyNumberFormat="1" applyFont="1" applyBorder="1"/>
    <xf numFmtId="166" fontId="6" fillId="0" borderId="6" xfId="1" applyNumberFormat="1" applyFont="1" applyBorder="1" applyAlignment="1">
      <alignment horizontal="right"/>
    </xf>
    <xf numFmtId="166" fontId="0" fillId="0" borderId="1" xfId="1" applyNumberFormat="1" applyFont="1" applyBorder="1" applyAlignment="1">
      <alignment horizontal="right"/>
    </xf>
    <xf numFmtId="0" fontId="8" fillId="8" borderId="1" xfId="0" applyFont="1" applyFill="1" applyBorder="1" applyAlignment="1">
      <alignment horizontal="left"/>
    </xf>
    <xf numFmtId="0" fontId="8" fillId="8" borderId="1" xfId="0" applyFont="1" applyFill="1" applyBorder="1" applyAlignment="1">
      <alignment horizontal="center"/>
    </xf>
    <xf numFmtId="17" fontId="0" fillId="0" borderId="1" xfId="0" applyNumberFormat="1" applyBorder="1"/>
    <xf numFmtId="17" fontId="0" fillId="0" borderId="1" xfId="0" applyNumberFormat="1" applyBorder="1" applyAlignment="1">
      <alignment horizontal="left"/>
    </xf>
    <xf numFmtId="0" fontId="0" fillId="8" borderId="1" xfId="0" applyFont="1" applyFill="1" applyBorder="1"/>
    <xf numFmtId="0" fontId="0" fillId="8" borderId="1" xfId="0" applyFont="1" applyFill="1" applyBorder="1" applyAlignment="1">
      <alignment horizontal="left"/>
    </xf>
    <xf numFmtId="166" fontId="0" fillId="0" borderId="1" xfId="1" applyNumberFormat="1" applyFont="1" applyFill="1" applyBorder="1"/>
    <xf numFmtId="166" fontId="0" fillId="0" borderId="1" xfId="1" applyNumberFormat="1" applyFont="1" applyBorder="1" applyAlignment="1">
      <alignment horizontal="left"/>
    </xf>
    <xf numFmtId="0" fontId="0" fillId="0" borderId="1" xfId="0" applyBorder="1" applyAlignment="1">
      <alignment horizontal="right"/>
    </xf>
    <xf numFmtId="0" fontId="12" fillId="0" borderId="0" xfId="0" applyFont="1" applyAlignment="1">
      <alignment wrapText="1"/>
    </xf>
    <xf numFmtId="0" fontId="12" fillId="0" borderId="0" xfId="0" applyFont="1" applyAlignment="1"/>
    <xf numFmtId="3" fontId="10" fillId="0" borderId="8" xfId="0" applyNumberFormat="1" applyFont="1" applyBorder="1" applyAlignment="1">
      <alignment horizontal="right"/>
    </xf>
    <xf numFmtId="166" fontId="10" fillId="0" borderId="8" xfId="1" applyNumberFormat="1" applyFont="1" applyBorder="1" applyAlignment="1">
      <alignment horizontal="right"/>
    </xf>
    <xf numFmtId="3" fontId="10" fillId="0" borderId="8" xfId="0" applyNumberFormat="1" applyFont="1" applyFill="1" applyBorder="1" applyAlignment="1">
      <alignment horizontal="right"/>
    </xf>
    <xf numFmtId="166" fontId="0" fillId="0" borderId="8" xfId="1" applyNumberFormat="1" applyFont="1" applyBorder="1" applyAlignment="1">
      <alignment horizontal="right"/>
    </xf>
    <xf numFmtId="3" fontId="0" fillId="0" borderId="8" xfId="0" applyNumberFormat="1" applyFont="1" applyFill="1" applyBorder="1" applyAlignment="1">
      <alignment horizontal="right"/>
    </xf>
    <xf numFmtId="3" fontId="7" fillId="0" borderId="8" xfId="0" applyNumberFormat="1" applyFont="1" applyBorder="1" applyAlignment="1">
      <alignment horizontal="right"/>
    </xf>
    <xf numFmtId="166" fontId="6" fillId="0" borderId="8" xfId="1" applyNumberFormat="1" applyFont="1" applyBorder="1" applyAlignment="1">
      <alignment horizontal="right"/>
    </xf>
    <xf numFmtId="3" fontId="6" fillId="0" borderId="8" xfId="0" applyNumberFormat="1" applyFont="1" applyBorder="1" applyAlignment="1">
      <alignment horizontal="right"/>
    </xf>
    <xf numFmtId="0" fontId="6" fillId="0" borderId="8" xfId="0" applyFont="1" applyBorder="1" applyAlignment="1">
      <alignment horizontal="right"/>
    </xf>
    <xf numFmtId="0" fontId="6" fillId="0" borderId="8" xfId="0" applyFont="1" applyFill="1" applyBorder="1" applyAlignment="1">
      <alignment horizontal="right"/>
    </xf>
    <xf numFmtId="3" fontId="6" fillId="0" borderId="9" xfId="0" applyNumberFormat="1" applyFont="1" applyBorder="1" applyAlignment="1">
      <alignment horizontal="right"/>
    </xf>
    <xf numFmtId="1" fontId="0" fillId="0" borderId="1" xfId="0" quotePrefix="1" applyNumberFormat="1" applyFill="1" applyBorder="1"/>
    <xf numFmtId="0" fontId="13" fillId="0" borderId="1" xfId="0" applyFont="1" applyBorder="1"/>
    <xf numFmtId="0" fontId="6" fillId="0" borderId="1" xfId="0" applyFont="1" applyBorder="1" applyAlignment="1">
      <alignment horizontal="right" vertical="center"/>
    </xf>
    <xf numFmtId="4" fontId="0" fillId="0" borderId="1" xfId="0" applyNumberFormat="1" applyBorder="1" applyAlignment="1">
      <alignment horizontal="right"/>
    </xf>
    <xf numFmtId="49" fontId="6" fillId="0" borderId="1" xfId="0" quotePrefix="1" applyNumberFormat="1" applyFont="1" applyFill="1" applyBorder="1" applyAlignment="1">
      <alignment horizontal="right"/>
    </xf>
    <xf numFmtId="3" fontId="6" fillId="0" borderId="1" xfId="0" applyNumberFormat="1" applyFont="1" applyBorder="1" applyAlignment="1">
      <alignment horizontal="right"/>
    </xf>
    <xf numFmtId="3" fontId="0" fillId="0" borderId="1" xfId="0" applyNumberFormat="1" applyBorder="1" applyAlignment="1">
      <alignment horizontal="right"/>
    </xf>
    <xf numFmtId="166" fontId="10" fillId="0" borderId="1" xfId="1" applyNumberFormat="1" applyFont="1" applyBorder="1" applyAlignment="1">
      <alignment horizontal="right" vertical="top" wrapText="1"/>
    </xf>
    <xf numFmtId="3" fontId="6" fillId="0" borderId="1" xfId="0" applyNumberFormat="1" applyFont="1" applyBorder="1" applyAlignment="1">
      <alignment horizontal="right" vertical="center"/>
    </xf>
    <xf numFmtId="10" fontId="0" fillId="0" borderId="1" xfId="0" applyNumberFormat="1" applyBorder="1" applyAlignment="1">
      <alignment horizontal="right"/>
    </xf>
    <xf numFmtId="166" fontId="8" fillId="0" borderId="1" xfId="1" applyNumberFormat="1" applyFont="1" applyFill="1" applyBorder="1" applyAlignment="1">
      <alignment horizontal="right" vertical="top" wrapText="1"/>
    </xf>
    <xf numFmtId="0" fontId="0" fillId="0" borderId="8" xfId="0" applyBorder="1" applyAlignment="1">
      <alignment horizontal="right"/>
    </xf>
    <xf numFmtId="0" fontId="6" fillId="0" borderId="1" xfId="0" applyFont="1" applyFill="1" applyBorder="1" applyAlignment="1">
      <alignment horizontal="right"/>
    </xf>
    <xf numFmtId="0" fontId="0" fillId="0" borderId="1" xfId="0" applyFill="1" applyBorder="1" applyAlignment="1">
      <alignment horizontal="right"/>
    </xf>
    <xf numFmtId="166" fontId="6" fillId="0" borderId="7" xfId="1" applyNumberFormat="1" applyFont="1" applyBorder="1" applyAlignment="1">
      <alignment horizontal="right"/>
    </xf>
    <xf numFmtId="4" fontId="6" fillId="0" borderId="1" xfId="0" applyNumberFormat="1" applyFont="1" applyBorder="1" applyAlignment="1">
      <alignment horizontal="right"/>
    </xf>
    <xf numFmtId="0" fontId="10" fillId="0" borderId="1" xfId="0" applyFont="1" applyBorder="1" applyAlignment="1">
      <alignment horizontal="right"/>
    </xf>
    <xf numFmtId="0" fontId="11" fillId="0" borderId="1" xfId="0" applyFont="1" applyBorder="1" applyAlignment="1">
      <alignment horizontal="right"/>
    </xf>
    <xf numFmtId="0" fontId="11" fillId="0" borderId="0" xfId="0" applyFont="1" applyAlignment="1">
      <alignment horizontal="right"/>
    </xf>
    <xf numFmtId="166" fontId="6" fillId="0" borderId="1" xfId="0" applyNumberFormat="1" applyFont="1" applyBorder="1" applyAlignment="1">
      <alignment horizontal="right"/>
    </xf>
    <xf numFmtId="166" fontId="6" fillId="0" borderId="1" xfId="1" applyNumberFormat="1" applyFont="1" applyBorder="1" applyAlignment="1">
      <alignment horizontal="right" vertical="center"/>
    </xf>
    <xf numFmtId="166" fontId="6" fillId="0" borderId="1" xfId="1" applyNumberFormat="1" applyFont="1" applyBorder="1" applyAlignment="1">
      <alignment horizontal="right" vertical="center" wrapText="1"/>
    </xf>
    <xf numFmtId="166" fontId="6" fillId="0" borderId="8" xfId="1" applyNumberFormat="1" applyFont="1" applyFill="1" applyBorder="1" applyAlignment="1">
      <alignment horizontal="right"/>
    </xf>
    <xf numFmtId="166" fontId="6" fillId="8" borderId="1" xfId="1" applyNumberFormat="1" applyFont="1" applyFill="1" applyBorder="1" applyAlignment="1">
      <alignment horizontal="right" vertical="top" wrapText="1"/>
    </xf>
    <xf numFmtId="166" fontId="6" fillId="8" borderId="1" xfId="1" applyNumberFormat="1" applyFont="1" applyFill="1" applyBorder="1" applyAlignment="1">
      <alignment horizontal="right"/>
    </xf>
    <xf numFmtId="0" fontId="9" fillId="8" borderId="1" xfId="0" applyFont="1" applyFill="1" applyBorder="1" applyAlignment="1">
      <alignment horizontal="right" vertical="top" wrapText="1"/>
    </xf>
    <xf numFmtId="1" fontId="6" fillId="0" borderId="1" xfId="0" applyNumberFormat="1" applyFont="1" applyBorder="1" applyAlignment="1">
      <alignment horizontal="right"/>
    </xf>
    <xf numFmtId="3" fontId="0" fillId="0" borderId="6" xfId="0" applyNumberFormat="1" applyFont="1" applyBorder="1" applyAlignment="1">
      <alignment horizontal="right"/>
    </xf>
    <xf numFmtId="166" fontId="7" fillId="8" borderId="1" xfId="1" applyNumberFormat="1" applyFont="1" applyFill="1" applyBorder="1" applyAlignment="1">
      <alignment horizontal="right"/>
    </xf>
    <xf numFmtId="166" fontId="8" fillId="8" borderId="1" xfId="1" applyNumberFormat="1" applyFont="1" applyFill="1" applyBorder="1" applyAlignment="1">
      <alignment horizontal="right"/>
    </xf>
    <xf numFmtId="0" fontId="10" fillId="0" borderId="8" xfId="0" applyFont="1" applyBorder="1" applyAlignment="1">
      <alignment horizontal="right"/>
    </xf>
    <xf numFmtId="0" fontId="0" fillId="0" borderId="6" xfId="0" applyFont="1" applyBorder="1" applyAlignment="1">
      <alignment horizontal="right"/>
    </xf>
    <xf numFmtId="0" fontId="0" fillId="0" borderId="2" xfId="0" applyBorder="1" applyAlignment="1">
      <alignment horizontal="center"/>
    </xf>
    <xf numFmtId="166" fontId="6" fillId="0" borderId="1" xfId="1" applyNumberFormat="1" applyFont="1" applyFill="1" applyBorder="1" applyAlignment="1">
      <alignment horizontal="right" vertical="top" wrapText="1"/>
    </xf>
    <xf numFmtId="0" fontId="9" fillId="0" borderId="1" xfId="0" applyFont="1" applyFill="1" applyBorder="1" applyAlignment="1">
      <alignment horizontal="right" vertical="top" wrapText="1"/>
    </xf>
    <xf numFmtId="0" fontId="0" fillId="0" borderId="0" xfId="0"/>
    <xf numFmtId="0" fontId="0" fillId="0" borderId="0" xfId="0" applyAlignment="1">
      <alignment wrapText="1"/>
    </xf>
    <xf numFmtId="3" fontId="0" fillId="0" borderId="0" xfId="0" applyNumberFormat="1"/>
    <xf numFmtId="0" fontId="0" fillId="4" borderId="0" xfId="0" applyFill="1" applyAlignment="1">
      <alignment vertical="center"/>
    </xf>
    <xf numFmtId="0" fontId="0" fillId="4" borderId="10" xfId="0" applyFill="1" applyBorder="1" applyAlignment="1">
      <alignment vertical="center"/>
    </xf>
    <xf numFmtId="0" fontId="0" fillId="0" borderId="0" xfId="0" applyAlignment="1">
      <alignment vertical="top"/>
    </xf>
    <xf numFmtId="0" fontId="4" fillId="0" borderId="0" xfId="0" applyFont="1" applyAlignment="1">
      <alignment vertical="top"/>
    </xf>
    <xf numFmtId="0" fontId="0" fillId="0" borderId="2" xfId="0" applyBorder="1"/>
    <xf numFmtId="0" fontId="0" fillId="0" borderId="2" xfId="0" applyFill="1" applyBorder="1" applyAlignment="1">
      <alignment horizontal="right"/>
    </xf>
    <xf numFmtId="166" fontId="6" fillId="8" borderId="2" xfId="1" applyNumberFormat="1" applyFont="1" applyFill="1" applyBorder="1" applyAlignment="1">
      <alignment horizontal="right"/>
    </xf>
    <xf numFmtId="4" fontId="0" fillId="0" borderId="2" xfId="0" applyNumberFormat="1" applyBorder="1" applyAlignment="1">
      <alignment horizontal="right"/>
    </xf>
    <xf numFmtId="0" fontId="6" fillId="0" borderId="2" xfId="0" applyFont="1" applyFill="1" applyBorder="1" applyAlignment="1">
      <alignment horizontal="right"/>
    </xf>
    <xf numFmtId="0" fontId="11" fillId="0" borderId="2" xfId="0" applyFont="1" applyBorder="1" applyAlignment="1">
      <alignment horizontal="right"/>
    </xf>
    <xf numFmtId="49" fontId="6" fillId="0" borderId="2" xfId="0" quotePrefix="1" applyNumberFormat="1" applyFont="1" applyFill="1" applyBorder="1" applyAlignment="1">
      <alignment horizontal="right"/>
    </xf>
    <xf numFmtId="4" fontId="6" fillId="0" borderId="2" xfId="0" applyNumberFormat="1" applyFont="1" applyBorder="1" applyAlignment="1">
      <alignment horizontal="right"/>
    </xf>
    <xf numFmtId="0" fontId="0" fillId="0" borderId="2" xfId="0" applyBorder="1" applyAlignment="1">
      <alignment horizontal="right"/>
    </xf>
    <xf numFmtId="3" fontId="6" fillId="0" borderId="2" xfId="0" applyNumberFormat="1" applyFont="1" applyBorder="1" applyAlignment="1">
      <alignment horizontal="right"/>
    </xf>
    <xf numFmtId="0" fontId="9" fillId="8" borderId="2" xfId="0" applyFont="1" applyFill="1" applyBorder="1" applyAlignment="1">
      <alignment horizontal="right" vertical="top" wrapText="1"/>
    </xf>
    <xf numFmtId="10" fontId="0" fillId="0" borderId="2" xfId="0" applyNumberFormat="1" applyBorder="1" applyAlignment="1">
      <alignment horizontal="right"/>
    </xf>
    <xf numFmtId="0" fontId="6" fillId="0" borderId="2" xfId="0" applyFont="1" applyBorder="1" applyAlignment="1">
      <alignment horizontal="right"/>
    </xf>
    <xf numFmtId="0" fontId="0" fillId="0" borderId="11" xfId="0" applyBorder="1" applyAlignment="1">
      <alignment horizontal="right"/>
    </xf>
    <xf numFmtId="49" fontId="0" fillId="0" borderId="0" xfId="0" applyNumberFormat="1" applyAlignment="1">
      <alignment horizontal="left" vertical="top"/>
    </xf>
    <xf numFmtId="49" fontId="4" fillId="0" borderId="0" xfId="0" applyNumberFormat="1" applyFont="1" applyAlignment="1">
      <alignment horizontal="left" vertical="top"/>
    </xf>
    <xf numFmtId="0" fontId="0" fillId="0" borderId="12" xfId="0" applyFont="1" applyBorder="1"/>
    <xf numFmtId="0" fontId="19" fillId="0" borderId="0" xfId="11"/>
    <xf numFmtId="0" fontId="0" fillId="4" borderId="2" xfId="0" applyFill="1" applyBorder="1" applyAlignment="1"/>
    <xf numFmtId="0" fontId="0" fillId="0" borderId="2" xfId="0" applyBorder="1" applyAlignment="1"/>
    <xf numFmtId="0" fontId="4" fillId="0" borderId="5" xfId="0" applyFont="1" applyBorder="1" applyAlignment="1">
      <alignment vertical="center"/>
    </xf>
    <xf numFmtId="0" fontId="14" fillId="2" borderId="13" xfId="0" applyFont="1" applyFill="1" applyBorder="1"/>
    <xf numFmtId="0" fontId="14" fillId="2" borderId="4" xfId="0" applyFont="1" applyFill="1" applyBorder="1"/>
    <xf numFmtId="0" fontId="14" fillId="2" borderId="14" xfId="0" applyFont="1" applyFill="1" applyBorder="1"/>
    <xf numFmtId="9" fontId="0" fillId="0" borderId="0" xfId="10" applyFont="1"/>
    <xf numFmtId="166" fontId="6" fillId="0" borderId="1" xfId="0" applyNumberFormat="1" applyFont="1" applyBorder="1" applyAlignment="1">
      <alignment horizontal="right" vertical="center"/>
    </xf>
    <xf numFmtId="3" fontId="6" fillId="11" borderId="1" xfId="0" applyNumberFormat="1" applyFont="1" applyFill="1" applyBorder="1" applyAlignment="1">
      <alignment horizontal="right"/>
    </xf>
    <xf numFmtId="166" fontId="6" fillId="11" borderId="1" xfId="1" applyNumberFormat="1" applyFont="1" applyFill="1" applyBorder="1" applyAlignment="1">
      <alignment horizontal="right"/>
    </xf>
    <xf numFmtId="166" fontId="0" fillId="0" borderId="0" xfId="1" applyNumberFormat="1" applyFont="1"/>
    <xf numFmtId="0" fontId="4" fillId="11" borderId="0" xfId="0" applyFont="1" applyFill="1" applyAlignment="1">
      <alignment vertical="top"/>
    </xf>
    <xf numFmtId="0" fontId="0" fillId="0" borderId="0" xfId="0" applyAlignment="1">
      <alignment horizontal="left"/>
    </xf>
    <xf numFmtId="0" fontId="19" fillId="0" borderId="0" xfId="11" applyAlignment="1">
      <alignment horizontal="left"/>
    </xf>
    <xf numFmtId="0" fontId="4" fillId="0" borderId="0" xfId="0" applyFont="1" applyAlignment="1">
      <alignment horizontal="left" vertical="top"/>
    </xf>
    <xf numFmtId="0" fontId="11" fillId="0" borderId="1" xfId="0" applyFont="1" applyBorder="1" applyAlignment="1">
      <alignment horizontal="left"/>
    </xf>
    <xf numFmtId="0" fontId="11" fillId="0" borderId="2" xfId="0" applyFont="1" applyBorder="1" applyAlignment="1">
      <alignment horizontal="left"/>
    </xf>
    <xf numFmtId="0" fontId="18" fillId="9" borderId="15" xfId="0" applyFont="1" applyFill="1" applyBorder="1" applyAlignment="1">
      <alignment vertical="top"/>
    </xf>
    <xf numFmtId="49" fontId="18" fillId="9" borderId="15" xfId="0" applyNumberFormat="1" applyFont="1" applyFill="1" applyBorder="1" applyAlignment="1">
      <alignment horizontal="left" vertical="top"/>
    </xf>
    <xf numFmtId="0" fontId="0" fillId="10" borderId="0" xfId="0" applyFont="1" applyFill="1" applyBorder="1" applyAlignment="1">
      <alignment vertical="top" wrapText="1"/>
    </xf>
    <xf numFmtId="0" fontId="0" fillId="0" borderId="0" xfId="0" applyFont="1" applyBorder="1" applyAlignment="1">
      <alignment vertical="top" wrapText="1"/>
    </xf>
    <xf numFmtId="0" fontId="5" fillId="0" borderId="0" xfId="0" applyFont="1" applyAlignment="1">
      <alignment vertical="top" wrapText="1"/>
    </xf>
    <xf numFmtId="0" fontId="10" fillId="0" borderId="2" xfId="0" applyFont="1" applyFill="1" applyBorder="1" applyAlignment="1">
      <alignment horizontal="left"/>
    </xf>
    <xf numFmtId="0" fontId="14" fillId="0" borderId="5" xfId="0" applyFont="1" applyFill="1" applyBorder="1" applyAlignment="1">
      <alignment horizontal="left" vertical="center"/>
    </xf>
    <xf numFmtId="9" fontId="6" fillId="0" borderId="0" xfId="10" applyFont="1"/>
    <xf numFmtId="9" fontId="0" fillId="0" borderId="0" xfId="10" applyFont="1" applyFill="1"/>
    <xf numFmtId="9" fontId="6" fillId="0" borderId="0" xfId="10" applyFont="1" applyFill="1"/>
    <xf numFmtId="0" fontId="4" fillId="12" borderId="0" xfId="0" applyFont="1" applyFill="1" applyAlignment="1">
      <alignment vertical="top"/>
    </xf>
    <xf numFmtId="3" fontId="0" fillId="0" borderId="8" xfId="0" applyNumberFormat="1" applyFont="1" applyBorder="1" applyAlignment="1">
      <alignment horizontal="right"/>
    </xf>
    <xf numFmtId="0" fontId="0" fillId="0" borderId="8" xfId="0" applyFont="1" applyBorder="1" applyAlignment="1">
      <alignment horizontal="right"/>
    </xf>
    <xf numFmtId="3" fontId="6" fillId="0" borderId="11" xfId="0" applyNumberFormat="1" applyFont="1" applyBorder="1" applyAlignment="1">
      <alignment horizontal="right"/>
    </xf>
    <xf numFmtId="0" fontId="0" fillId="3" borderId="0" xfId="0" applyFill="1" applyAlignment="1">
      <alignment vertical="top" wrapText="1"/>
    </xf>
    <xf numFmtId="0" fontId="0" fillId="10" borderId="1" xfId="0" applyFont="1" applyFill="1" applyBorder="1" applyAlignment="1">
      <alignment horizontal="right"/>
    </xf>
    <xf numFmtId="0" fontId="10" fillId="10" borderId="1" xfId="0" applyFont="1" applyFill="1" applyBorder="1" applyAlignment="1">
      <alignment horizontal="right"/>
    </xf>
    <xf numFmtId="0" fontId="0" fillId="0" borderId="1" xfId="0" applyFont="1" applyBorder="1" applyAlignment="1">
      <alignment horizontal="right"/>
    </xf>
    <xf numFmtId="4" fontId="0" fillId="0" borderId="0" xfId="0" applyNumberFormat="1"/>
    <xf numFmtId="166" fontId="0" fillId="10" borderId="1" xfId="1" applyNumberFormat="1" applyFont="1" applyFill="1" applyBorder="1" applyAlignment="1">
      <alignment horizontal="right"/>
    </xf>
    <xf numFmtId="3" fontId="0" fillId="11" borderId="1" xfId="0" applyNumberFormat="1" applyFont="1" applyFill="1" applyBorder="1" applyAlignment="1">
      <alignment horizontal="right"/>
    </xf>
    <xf numFmtId="0" fontId="11" fillId="10" borderId="1" xfId="0" applyFont="1" applyFill="1" applyBorder="1" applyAlignment="1">
      <alignment horizontal="left"/>
    </xf>
    <xf numFmtId="0" fontId="0" fillId="10" borderId="1" xfId="0" applyFont="1" applyFill="1" applyBorder="1" applyAlignment="1">
      <alignment horizontal="left" wrapText="1"/>
    </xf>
    <xf numFmtId="0" fontId="0" fillId="0" borderId="1" xfId="0" applyFont="1" applyBorder="1" applyAlignment="1">
      <alignment horizontal="left" wrapText="1"/>
    </xf>
    <xf numFmtId="0" fontId="0" fillId="0" borderId="1" xfId="0" applyBorder="1" applyAlignment="1">
      <alignment vertical="top"/>
    </xf>
    <xf numFmtId="0" fontId="10" fillId="10" borderId="1" xfId="0" applyFont="1" applyFill="1" applyBorder="1" applyAlignment="1">
      <alignment horizontal="right" wrapText="1"/>
    </xf>
    <xf numFmtId="0" fontId="0" fillId="10" borderId="1" xfId="0" applyFont="1" applyFill="1" applyBorder="1" applyAlignment="1">
      <alignment horizontal="right" wrapText="1"/>
    </xf>
    <xf numFmtId="0" fontId="0" fillId="0" borderId="1" xfId="0" applyFont="1" applyBorder="1" applyAlignment="1">
      <alignment horizontal="right" wrapText="1"/>
    </xf>
    <xf numFmtId="0" fontId="0" fillId="3" borderId="0" xfId="0" applyFont="1" applyFill="1" applyBorder="1" applyAlignment="1">
      <alignment vertical="top" wrapText="1"/>
    </xf>
    <xf numFmtId="0" fontId="0" fillId="3" borderId="0" xfId="0" applyFont="1" applyFill="1" applyAlignment="1">
      <alignment vertical="top" wrapText="1"/>
    </xf>
    <xf numFmtId="0" fontId="18" fillId="9" borderId="16" xfId="0" applyFont="1" applyFill="1" applyBorder="1" applyAlignment="1">
      <alignment horizontal="left" vertical="top" wrapText="1"/>
    </xf>
    <xf numFmtId="0" fontId="18" fillId="9" borderId="0" xfId="0" applyFont="1" applyFill="1" applyBorder="1" applyAlignment="1">
      <alignment vertical="top"/>
    </xf>
    <xf numFmtId="0" fontId="18" fillId="9" borderId="17" xfId="0" applyFont="1" applyFill="1" applyBorder="1" applyAlignment="1">
      <alignment vertical="top"/>
    </xf>
    <xf numFmtId="0" fontId="0" fillId="0" borderId="2" xfId="0" applyFont="1" applyBorder="1" applyAlignment="1">
      <alignment horizontal="left" wrapText="1"/>
    </xf>
    <xf numFmtId="0" fontId="0" fillId="0" borderId="0" xfId="0" applyFont="1" applyAlignment="1">
      <alignment vertical="top"/>
    </xf>
    <xf numFmtId="0" fontId="11" fillId="10" borderId="1" xfId="0" applyFont="1" applyFill="1" applyBorder="1" applyAlignment="1">
      <alignment horizontal="right"/>
    </xf>
    <xf numFmtId="0" fontId="0" fillId="0" borderId="0" xfId="0" applyFont="1" applyAlignment="1">
      <alignment vertical="top" wrapText="1"/>
    </xf>
    <xf numFmtId="0" fontId="18" fillId="9" borderId="17" xfId="0" applyFont="1" applyFill="1" applyBorder="1" applyAlignment="1">
      <alignment vertical="top" wrapText="1"/>
    </xf>
    <xf numFmtId="0" fontId="18" fillId="9" borderId="16" xfId="0" applyFont="1" applyFill="1" applyBorder="1" applyAlignment="1">
      <alignment vertical="top"/>
    </xf>
    <xf numFmtId="0" fontId="5" fillId="0" borderId="0" xfId="0" applyFont="1" applyAlignment="1">
      <alignment vertical="top"/>
    </xf>
    <xf numFmtId="0" fontId="0" fillId="10" borderId="2" xfId="0" applyFont="1" applyFill="1" applyBorder="1" applyAlignment="1">
      <alignment horizontal="right"/>
    </xf>
    <xf numFmtId="0" fontId="11" fillId="10" borderId="2" xfId="0" applyFont="1" applyFill="1" applyBorder="1" applyAlignment="1">
      <alignment horizontal="left"/>
    </xf>
    <xf numFmtId="0" fontId="10" fillId="10" borderId="0" xfId="0" applyFont="1" applyFill="1" applyBorder="1" applyAlignment="1">
      <alignment horizontal="left" vertical="top" wrapText="1"/>
    </xf>
    <xf numFmtId="0" fontId="0" fillId="10" borderId="0" xfId="0" applyFont="1" applyFill="1" applyBorder="1" applyAlignment="1">
      <alignment horizontal="left" vertical="top" wrapText="1"/>
    </xf>
    <xf numFmtId="0" fontId="0" fillId="0" borderId="0" xfId="0" applyFont="1" applyBorder="1" applyAlignment="1">
      <alignment horizontal="left" vertical="top" wrapText="1"/>
    </xf>
    <xf numFmtId="0" fontId="0" fillId="0" borderId="1" xfId="0" applyFont="1" applyBorder="1" applyAlignment="1">
      <alignment horizontal="left"/>
    </xf>
    <xf numFmtId="0" fontId="10" fillId="10" borderId="1" xfId="0" applyFont="1" applyFill="1" applyBorder="1" applyAlignment="1">
      <alignment horizontal="left" wrapText="1"/>
    </xf>
    <xf numFmtId="0" fontId="10" fillId="0" borderId="1" xfId="0" applyFont="1" applyBorder="1" applyAlignment="1">
      <alignment horizontal="left" wrapText="1"/>
    </xf>
    <xf numFmtId="0" fontId="0" fillId="10" borderId="4" xfId="0" applyFont="1" applyFill="1" applyBorder="1" applyAlignment="1">
      <alignment horizontal="right"/>
    </xf>
    <xf numFmtId="0" fontId="11" fillId="10" borderId="4" xfId="0" applyFont="1" applyFill="1" applyBorder="1" applyAlignment="1">
      <alignment horizontal="left"/>
    </xf>
    <xf numFmtId="0" fontId="18" fillId="9" borderId="1" xfId="0" applyFont="1" applyFill="1" applyBorder="1" applyAlignment="1">
      <alignment vertical="top"/>
    </xf>
    <xf numFmtId="0" fontId="18" fillId="9" borderId="1" xfId="0" applyFont="1" applyFill="1" applyBorder="1" applyAlignment="1">
      <alignment horizontal="left" vertical="top"/>
    </xf>
    <xf numFmtId="0" fontId="10" fillId="0" borderId="2" xfId="0" applyFont="1" applyBorder="1" applyAlignment="1">
      <alignment horizontal="left" wrapText="1"/>
    </xf>
    <xf numFmtId="0" fontId="0" fillId="10" borderId="2" xfId="0" applyFont="1" applyFill="1" applyBorder="1" applyAlignment="1">
      <alignment horizontal="left" wrapText="1"/>
    </xf>
    <xf numFmtId="0" fontId="0" fillId="0" borderId="4" xfId="0" applyFont="1" applyBorder="1" applyAlignment="1">
      <alignment horizontal="left" wrapText="1"/>
    </xf>
    <xf numFmtId="0" fontId="0" fillId="10" borderId="4" xfId="0" applyFont="1" applyFill="1" applyBorder="1" applyAlignment="1">
      <alignment horizontal="left" wrapText="1"/>
    </xf>
    <xf numFmtId="0" fontId="18" fillId="9" borderId="0" xfId="0" applyFont="1" applyFill="1" applyBorder="1" applyAlignment="1">
      <alignment horizontal="left" vertical="top" wrapText="1"/>
    </xf>
    <xf numFmtId="0" fontId="0" fillId="0" borderId="0" xfId="0" applyFont="1" applyBorder="1" applyAlignment="1">
      <alignment vertical="top"/>
    </xf>
    <xf numFmtId="0" fontId="11" fillId="10" borderId="2" xfId="0" applyFont="1" applyFill="1" applyBorder="1" applyAlignment="1">
      <alignment horizontal="right"/>
    </xf>
    <xf numFmtId="0" fontId="0" fillId="0" borderId="0" xfId="0" applyAlignment="1">
      <alignment horizontal="center" vertical="top"/>
    </xf>
    <xf numFmtId="0" fontId="0" fillId="3" borderId="0" xfId="0" applyFill="1" applyBorder="1" applyAlignment="1">
      <alignment horizontal="center" vertical="top" wrapText="1"/>
    </xf>
    <xf numFmtId="0" fontId="0" fillId="0" borderId="1" xfId="0" applyBorder="1" applyAlignment="1">
      <alignment horizontal="center" vertical="top"/>
    </xf>
    <xf numFmtId="0" fontId="18" fillId="9" borderId="0" xfId="0" applyFont="1" applyFill="1" applyBorder="1" applyAlignment="1">
      <alignment horizontal="center" vertical="top" wrapText="1"/>
    </xf>
    <xf numFmtId="0" fontId="0" fillId="3" borderId="1" xfId="0" applyFill="1" applyBorder="1" applyAlignment="1">
      <alignment horizontal="center" vertical="top"/>
    </xf>
    <xf numFmtId="0" fontId="0" fillId="3" borderId="1" xfId="0" applyFill="1" applyBorder="1" applyAlignment="1">
      <alignment vertical="top"/>
    </xf>
    <xf numFmtId="0" fontId="0" fillId="3" borderId="1" xfId="0" applyFont="1" applyFill="1" applyBorder="1" applyAlignment="1">
      <alignment vertical="top"/>
    </xf>
    <xf numFmtId="0" fontId="0" fillId="3" borderId="1" xfId="0" applyFont="1" applyFill="1" applyBorder="1" applyAlignment="1">
      <alignment horizontal="center" vertical="top" wrapText="1"/>
    </xf>
    <xf numFmtId="0" fontId="0" fillId="3" borderId="1" xfId="0" applyFont="1" applyFill="1" applyBorder="1" applyAlignment="1">
      <alignment vertical="top" wrapText="1"/>
    </xf>
    <xf numFmtId="0" fontId="0" fillId="3" borderId="2" xfId="0" applyFont="1" applyFill="1" applyBorder="1" applyAlignment="1">
      <alignment horizontal="center" vertical="top"/>
    </xf>
    <xf numFmtId="0" fontId="0" fillId="3" borderId="2" xfId="0" applyFont="1" applyFill="1" applyBorder="1" applyAlignment="1">
      <alignment vertical="top"/>
    </xf>
    <xf numFmtId="0" fontId="18" fillId="9" borderId="0" xfId="0" applyFont="1" applyFill="1" applyBorder="1" applyAlignment="1">
      <alignment horizontal="center" vertical="top"/>
    </xf>
    <xf numFmtId="166" fontId="0" fillId="0" borderId="1" xfId="1" applyNumberFormat="1" applyFont="1" applyBorder="1" applyAlignment="1">
      <alignment horizontal="left" wrapText="1"/>
    </xf>
    <xf numFmtId="166" fontId="0" fillId="10" borderId="1" xfId="1" applyNumberFormat="1" applyFont="1" applyFill="1" applyBorder="1" applyAlignment="1">
      <alignment horizontal="left" wrapText="1"/>
    </xf>
    <xf numFmtId="3" fontId="0" fillId="10" borderId="1" xfId="0" applyNumberFormat="1" applyFont="1" applyFill="1" applyBorder="1" applyAlignment="1">
      <alignment horizontal="left" wrapText="1"/>
    </xf>
    <xf numFmtId="3" fontId="0" fillId="0" borderId="1" xfId="0" applyNumberFormat="1" applyFont="1" applyBorder="1" applyAlignment="1">
      <alignment horizontal="left" wrapText="1"/>
    </xf>
    <xf numFmtId="0" fontId="0" fillId="0" borderId="12" xfId="0" applyFont="1" applyBorder="1" applyAlignment="1">
      <alignment horizontal="left" wrapText="1"/>
    </xf>
    <xf numFmtId="0" fontId="18" fillId="9" borderId="18" xfId="0" applyFont="1" applyFill="1" applyBorder="1" applyAlignment="1">
      <alignment horizontal="left" vertical="top" wrapText="1"/>
    </xf>
    <xf numFmtId="0" fontId="0" fillId="13" borderId="1" xfId="0" applyFont="1" applyFill="1" applyBorder="1" applyAlignment="1">
      <alignment horizontal="left" wrapText="1"/>
    </xf>
    <xf numFmtId="0" fontId="20" fillId="0" borderId="0" xfId="0" applyFont="1" applyAlignment="1">
      <alignment vertical="top"/>
    </xf>
    <xf numFmtId="0" fontId="0" fillId="3" borderId="1" xfId="0" applyFill="1" applyBorder="1" applyAlignment="1">
      <alignment vertical="top" wrapText="1"/>
    </xf>
    <xf numFmtId="0" fontId="0" fillId="11" borderId="1" xfId="0" applyFont="1" applyFill="1" applyBorder="1" applyAlignment="1">
      <alignment vertical="top"/>
    </xf>
    <xf numFmtId="0" fontId="0" fillId="11" borderId="1" xfId="0" applyFont="1" applyFill="1" applyBorder="1" applyAlignment="1">
      <alignment horizontal="center" vertical="top"/>
    </xf>
    <xf numFmtId="0" fontId="0" fillId="11" borderId="1" xfId="0" applyFill="1" applyBorder="1" applyAlignment="1">
      <alignment horizontal="center" vertical="top"/>
    </xf>
    <xf numFmtId="0" fontId="0" fillId="11" borderId="1" xfId="0" applyFill="1" applyBorder="1" applyAlignment="1">
      <alignment vertical="top"/>
    </xf>
    <xf numFmtId="166" fontId="6" fillId="11" borderId="8" xfId="1" applyNumberFormat="1" applyFont="1" applyFill="1" applyBorder="1" applyAlignment="1">
      <alignment horizontal="right"/>
    </xf>
    <xf numFmtId="3" fontId="10" fillId="11" borderId="8" xfId="0" applyNumberFormat="1" applyFont="1" applyFill="1" applyBorder="1" applyAlignment="1">
      <alignment horizontal="right"/>
    </xf>
    <xf numFmtId="0" fontId="10" fillId="11" borderId="8" xfId="0" applyFont="1" applyFill="1" applyBorder="1" applyAlignment="1">
      <alignment horizontal="right"/>
    </xf>
    <xf numFmtId="3" fontId="6" fillId="11" borderId="2" xfId="0" applyNumberFormat="1" applyFont="1" applyFill="1" applyBorder="1" applyAlignment="1">
      <alignment horizontal="right"/>
    </xf>
    <xf numFmtId="166" fontId="6" fillId="3" borderId="1" xfId="1" applyNumberFormat="1" applyFont="1" applyFill="1" applyBorder="1" applyAlignment="1">
      <alignment horizontal="right"/>
    </xf>
    <xf numFmtId="0" fontId="6" fillId="11" borderId="1" xfId="0" applyFont="1" applyFill="1" applyBorder="1" applyAlignment="1">
      <alignment horizontal="right"/>
    </xf>
    <xf numFmtId="3" fontId="0" fillId="11" borderId="6" xfId="0" applyNumberFormat="1" applyFont="1" applyFill="1" applyBorder="1" applyAlignment="1">
      <alignment horizontal="right"/>
    </xf>
    <xf numFmtId="0" fontId="0" fillId="11" borderId="6" xfId="0" applyFont="1" applyFill="1" applyBorder="1" applyAlignment="1">
      <alignment horizontal="right"/>
    </xf>
    <xf numFmtId="4" fontId="6" fillId="11" borderId="1" xfId="0" applyNumberFormat="1" applyFont="1" applyFill="1" applyBorder="1" applyAlignment="1">
      <alignment horizontal="right"/>
    </xf>
    <xf numFmtId="4" fontId="6" fillId="11" borderId="2" xfId="0" applyNumberFormat="1" applyFont="1" applyFill="1" applyBorder="1" applyAlignment="1">
      <alignment horizontal="right"/>
    </xf>
    <xf numFmtId="0" fontId="0" fillId="11" borderId="1" xfId="0" applyFill="1" applyBorder="1" applyAlignment="1">
      <alignment horizontal="right"/>
    </xf>
    <xf numFmtId="3" fontId="6" fillId="11" borderId="8" xfId="0" applyNumberFormat="1" applyFont="1" applyFill="1" applyBorder="1" applyAlignment="1">
      <alignment horizontal="right"/>
    </xf>
    <xf numFmtId="0" fontId="6" fillId="11" borderId="8" xfId="0" applyFont="1" applyFill="1" applyBorder="1" applyAlignment="1">
      <alignment horizontal="right"/>
    </xf>
    <xf numFmtId="0" fontId="6" fillId="11" borderId="2" xfId="0" applyFont="1" applyFill="1" applyBorder="1" applyAlignment="1">
      <alignment horizontal="right"/>
    </xf>
    <xf numFmtId="0" fontId="0" fillId="0" borderId="0" xfId="0" applyFill="1"/>
    <xf numFmtId="3" fontId="6" fillId="0" borderId="1" xfId="0" applyNumberFormat="1" applyFont="1" applyFill="1" applyBorder="1" applyAlignment="1">
      <alignment horizontal="right"/>
    </xf>
    <xf numFmtId="3" fontId="10" fillId="3" borderId="8" xfId="0" applyNumberFormat="1" applyFont="1" applyFill="1" applyBorder="1" applyAlignment="1">
      <alignment horizontal="right"/>
    </xf>
    <xf numFmtId="0" fontId="0" fillId="11" borderId="0" xfId="0" applyFill="1" applyAlignment="1">
      <alignment vertical="top" wrapText="1"/>
    </xf>
    <xf numFmtId="0" fontId="0" fillId="11" borderId="1" xfId="0" applyFont="1" applyFill="1" applyBorder="1" applyAlignment="1">
      <alignment vertical="top" wrapText="1"/>
    </xf>
    <xf numFmtId="3" fontId="0" fillId="10" borderId="1" xfId="0" applyNumberFormat="1" applyFont="1" applyFill="1" applyBorder="1" applyAlignment="1">
      <alignment horizontal="right"/>
    </xf>
    <xf numFmtId="4" fontId="0" fillId="0" borderId="1" xfId="0" applyNumberFormat="1" applyFont="1" applyBorder="1" applyAlignment="1">
      <alignment horizontal="right"/>
    </xf>
    <xf numFmtId="4" fontId="0" fillId="10" borderId="1" xfId="0" applyNumberFormat="1" applyFont="1" applyFill="1" applyBorder="1" applyAlignment="1">
      <alignment horizontal="right"/>
    </xf>
    <xf numFmtId="166" fontId="6" fillId="0" borderId="1" xfId="0" applyNumberFormat="1" applyFont="1" applyFill="1" applyBorder="1" applyAlignment="1">
      <alignment horizontal="right"/>
    </xf>
    <xf numFmtId="0" fontId="13" fillId="0" borderId="2" xfId="0" applyFont="1" applyBorder="1"/>
    <xf numFmtId="0" fontId="4" fillId="7" borderId="0" xfId="0" applyFont="1" applyFill="1" applyAlignment="1">
      <alignment horizontal="center" vertical="center" wrapText="1" readingOrder="2"/>
    </xf>
    <xf numFmtId="0" fontId="4" fillId="2" borderId="0" xfId="0" applyFont="1" applyFill="1" applyAlignment="1">
      <alignment horizontal="center" vertical="center" wrapText="1" readingOrder="2"/>
    </xf>
    <xf numFmtId="0" fontId="0" fillId="0" borderId="1" xfId="0" applyFont="1" applyBorder="1" applyAlignment="1">
      <alignment wrapText="1"/>
    </xf>
    <xf numFmtId="4" fontId="0" fillId="10" borderId="2" xfId="0" applyNumberFormat="1" applyFont="1" applyFill="1" applyBorder="1" applyAlignment="1">
      <alignment horizontal="right"/>
    </xf>
    <xf numFmtId="9" fontId="0" fillId="0" borderId="1" xfId="10" applyFont="1" applyBorder="1" applyAlignment="1">
      <alignment horizontal="right"/>
    </xf>
    <xf numFmtId="9" fontId="6" fillId="0" borderId="1" xfId="10" applyFont="1" applyBorder="1" applyAlignment="1">
      <alignment horizontal="right"/>
    </xf>
    <xf numFmtId="9" fontId="6" fillId="0" borderId="8" xfId="10" applyFont="1" applyBorder="1" applyAlignment="1">
      <alignment horizontal="right"/>
    </xf>
    <xf numFmtId="9" fontId="10" fillId="0" borderId="8" xfId="10" applyFont="1" applyBorder="1" applyAlignment="1">
      <alignment horizontal="right"/>
    </xf>
    <xf numFmtId="9" fontId="10" fillId="0" borderId="8" xfId="10" applyFont="1" applyFill="1" applyBorder="1" applyAlignment="1">
      <alignment horizontal="right"/>
    </xf>
    <xf numFmtId="9" fontId="7" fillId="0" borderId="8" xfId="10" applyFont="1" applyBorder="1" applyAlignment="1">
      <alignment horizontal="right"/>
    </xf>
    <xf numFmtId="9" fontId="6" fillId="0" borderId="11" xfId="10" applyFont="1" applyBorder="1" applyAlignment="1">
      <alignment horizontal="right"/>
    </xf>
    <xf numFmtId="9" fontId="0" fillId="11" borderId="1" xfId="0" applyNumberFormat="1" applyFill="1" applyBorder="1" applyAlignment="1">
      <alignment horizontal="right"/>
    </xf>
    <xf numFmtId="9" fontId="0" fillId="0" borderId="8" xfId="0" applyNumberFormat="1" applyBorder="1" applyAlignment="1">
      <alignment horizontal="right"/>
    </xf>
    <xf numFmtId="9" fontId="6" fillId="11" borderId="8" xfId="0" applyNumberFormat="1" applyFont="1" applyFill="1" applyBorder="1" applyAlignment="1">
      <alignment horizontal="right"/>
    </xf>
    <xf numFmtId="9" fontId="6" fillId="11" borderId="1" xfId="0" applyNumberFormat="1" applyFont="1" applyFill="1" applyBorder="1" applyAlignment="1">
      <alignment horizontal="right"/>
    </xf>
    <xf numFmtId="9" fontId="6" fillId="11" borderId="2" xfId="0" applyNumberFormat="1" applyFont="1" applyFill="1" applyBorder="1" applyAlignment="1">
      <alignment horizontal="right"/>
    </xf>
    <xf numFmtId="9" fontId="10" fillId="0" borderId="0" xfId="10" applyFont="1" applyFill="1"/>
    <xf numFmtId="9" fontId="0" fillId="0" borderId="8" xfId="10" applyFont="1" applyBorder="1" applyAlignment="1">
      <alignment horizontal="right"/>
    </xf>
    <xf numFmtId="0" fontId="4" fillId="10" borderId="19" xfId="0" applyFont="1" applyFill="1" applyBorder="1" applyAlignment="1">
      <alignment vertical="center"/>
    </xf>
    <xf numFmtId="0" fontId="4" fillId="0" borderId="19" xfId="0" applyFont="1" applyBorder="1" applyAlignment="1">
      <alignment vertical="center"/>
    </xf>
    <xf numFmtId="0" fontId="0" fillId="0" borderId="0" xfId="0" applyAlignment="1">
      <alignment horizontal="center" wrapText="1"/>
    </xf>
    <xf numFmtId="0" fontId="14" fillId="0" borderId="5" xfId="0" applyFont="1" applyFill="1" applyBorder="1" applyAlignment="1">
      <alignment horizontal="left" vertical="center" wrapText="1"/>
    </xf>
    <xf numFmtId="0" fontId="14" fillId="10" borderId="19" xfId="0" applyFont="1" applyFill="1" applyBorder="1" applyAlignment="1">
      <alignment horizontal="left" vertical="center" wrapText="1"/>
    </xf>
    <xf numFmtId="0" fontId="14" fillId="0" borderId="19" xfId="0" applyFont="1" applyBorder="1" applyAlignment="1">
      <alignment horizontal="left" vertical="center" wrapText="1"/>
    </xf>
    <xf numFmtId="9" fontId="0" fillId="0" borderId="0" xfId="0" applyNumberFormat="1"/>
    <xf numFmtId="3" fontId="0" fillId="0" borderId="0" xfId="0" applyNumberFormat="1" applyAlignment="1">
      <alignment wrapText="1"/>
    </xf>
    <xf numFmtId="0" fontId="14" fillId="2" borderId="7" xfId="0" applyFont="1" applyFill="1" applyBorder="1"/>
    <xf numFmtId="0" fontId="14" fillId="0" borderId="7" xfId="0" applyFont="1" applyBorder="1" applyAlignment="1">
      <alignment horizontal="left" vertical="center"/>
    </xf>
    <xf numFmtId="0" fontId="0" fillId="4" borderId="19" xfId="0" applyFont="1" applyFill="1" applyBorder="1" applyAlignment="1"/>
    <xf numFmtId="0" fontId="0" fillId="0" borderId="19" xfId="0" applyFont="1" applyBorder="1" applyAlignment="1"/>
    <xf numFmtId="0" fontId="10" fillId="0" borderId="19" xfId="0" applyFont="1" applyBorder="1" applyAlignment="1">
      <alignment horizontal="left"/>
    </xf>
    <xf numFmtId="0" fontId="10" fillId="10" borderId="19" xfId="0" applyFont="1" applyFill="1" applyBorder="1" applyAlignment="1">
      <alignment horizontal="left"/>
    </xf>
    <xf numFmtId="0" fontId="10" fillId="0" borderId="7" xfId="0" applyFont="1" applyBorder="1" applyAlignment="1">
      <alignment horizontal="left"/>
    </xf>
    <xf numFmtId="0" fontId="0" fillId="0" borderId="1" xfId="0" applyBorder="1" applyAlignment="1">
      <alignment wrapText="1"/>
    </xf>
    <xf numFmtId="0" fontId="0" fillId="0" borderId="25" xfId="0" applyBorder="1"/>
    <xf numFmtId="9" fontId="0" fillId="0" borderId="6" xfId="0" applyNumberFormat="1" applyBorder="1"/>
    <xf numFmtId="0" fontId="0" fillId="0" borderId="23" xfId="0" applyBorder="1" applyAlignment="1">
      <alignment wrapText="1"/>
    </xf>
    <xf numFmtId="0" fontId="0" fillId="0" borderId="25" xfId="0" applyBorder="1" applyAlignment="1">
      <alignment wrapText="1"/>
    </xf>
    <xf numFmtId="3" fontId="0" fillId="0" borderId="25" xfId="0" applyNumberFormat="1" applyBorder="1"/>
    <xf numFmtId="0" fontId="4" fillId="14" borderId="30" xfId="0" applyFont="1" applyFill="1" applyBorder="1"/>
    <xf numFmtId="0" fontId="4" fillId="14" borderId="31" xfId="0" applyFont="1" applyFill="1" applyBorder="1"/>
    <xf numFmtId="0" fontId="4" fillId="14" borderId="32" xfId="0" applyFont="1" applyFill="1" applyBorder="1"/>
    <xf numFmtId="0" fontId="4" fillId="14" borderId="33" xfId="0" applyFont="1" applyFill="1" applyBorder="1"/>
    <xf numFmtId="0" fontId="4" fillId="14" borderId="24" xfId="0" applyFont="1" applyFill="1" applyBorder="1"/>
    <xf numFmtId="0" fontId="4" fillId="14" borderId="25" xfId="0" applyFont="1" applyFill="1" applyBorder="1"/>
    <xf numFmtId="9" fontId="4" fillId="14" borderId="26" xfId="0" applyNumberFormat="1" applyFont="1" applyFill="1" applyBorder="1"/>
    <xf numFmtId="0" fontId="0" fillId="0" borderId="28" xfId="0" applyBorder="1"/>
    <xf numFmtId="3" fontId="0" fillId="0" borderId="28" xfId="0" applyNumberFormat="1" applyBorder="1"/>
    <xf numFmtId="9" fontId="0" fillId="0" borderId="29" xfId="0" applyNumberFormat="1" applyBorder="1"/>
    <xf numFmtId="9" fontId="0" fillId="0" borderId="26" xfId="0" applyNumberFormat="1" applyBorder="1"/>
    <xf numFmtId="0" fontId="0" fillId="0" borderId="27" xfId="0" applyBorder="1" applyAlignment="1">
      <alignment wrapText="1"/>
    </xf>
    <xf numFmtId="0" fontId="0" fillId="0" borderId="24" xfId="0" applyBorder="1" applyAlignment="1">
      <alignment wrapText="1"/>
    </xf>
    <xf numFmtId="0" fontId="0" fillId="0" borderId="28" xfId="0" applyBorder="1" applyAlignment="1">
      <alignment wrapText="1"/>
    </xf>
    <xf numFmtId="0" fontId="0" fillId="2" borderId="27" xfId="0" applyFill="1" applyBorder="1" applyAlignment="1"/>
    <xf numFmtId="0" fontId="0" fillId="2" borderId="28" xfId="0" applyFill="1" applyBorder="1"/>
    <xf numFmtId="3" fontId="0" fillId="2" borderId="28" xfId="0" applyNumberFormat="1" applyFill="1" applyBorder="1"/>
    <xf numFmtId="9" fontId="0" fillId="2" borderId="29" xfId="0" applyNumberFormat="1" applyFill="1" applyBorder="1"/>
    <xf numFmtId="0" fontId="0" fillId="2" borderId="23" xfId="0" applyFill="1" applyBorder="1" applyAlignment="1"/>
    <xf numFmtId="0" fontId="0" fillId="2" borderId="1" xfId="0" applyFill="1" applyBorder="1"/>
    <xf numFmtId="3" fontId="0" fillId="2" borderId="1" xfId="0" applyNumberFormat="1" applyFill="1" applyBorder="1"/>
    <xf numFmtId="9" fontId="0" fillId="2" borderId="6" xfId="0" applyNumberFormat="1" applyFill="1" applyBorder="1"/>
    <xf numFmtId="0" fontId="0" fillId="2" borderId="24" xfId="0" applyFill="1" applyBorder="1" applyAlignment="1"/>
    <xf numFmtId="0" fontId="0" fillId="2" borderId="25" xfId="0" applyFill="1" applyBorder="1"/>
    <xf numFmtId="3" fontId="0" fillId="2" borderId="25" xfId="0" applyNumberFormat="1" applyFill="1" applyBorder="1"/>
    <xf numFmtId="9" fontId="0" fillId="2" borderId="26" xfId="0" applyNumberFormat="1" applyFill="1" applyBorder="1"/>
    <xf numFmtId="0" fontId="0" fillId="2" borderId="27" xfId="0" applyFill="1" applyBorder="1" applyAlignment="1">
      <alignment wrapText="1"/>
    </xf>
    <xf numFmtId="0" fontId="0" fillId="2" borderId="24" xfId="0" applyFill="1" applyBorder="1" applyAlignment="1">
      <alignment wrapText="1"/>
    </xf>
    <xf numFmtId="0" fontId="0" fillId="2" borderId="28" xfId="0" applyFill="1" applyBorder="1" applyAlignment="1">
      <alignment wrapText="1"/>
    </xf>
    <xf numFmtId="0" fontId="0" fillId="2" borderId="27" xfId="0" applyFill="1" applyBorder="1" applyAlignment="1">
      <alignment horizontal="center" wrapText="1"/>
    </xf>
    <xf numFmtId="0" fontId="0" fillId="2" borderId="34" xfId="0" applyFill="1" applyBorder="1" applyAlignment="1">
      <alignment horizontal="center"/>
    </xf>
    <xf numFmtId="0" fontId="0" fillId="2" borderId="2" xfId="0" applyFill="1" applyBorder="1" applyAlignment="1">
      <alignment wrapText="1"/>
    </xf>
    <xf numFmtId="0" fontId="0" fillId="2" borderId="2" xfId="0" applyFill="1" applyBorder="1"/>
    <xf numFmtId="3" fontId="0" fillId="2" borderId="2" xfId="0" applyNumberFormat="1" applyFill="1" applyBorder="1"/>
    <xf numFmtId="0" fontId="0" fillId="0" borderId="28" xfId="0" applyFill="1" applyBorder="1" applyAlignment="1">
      <alignment wrapText="1"/>
    </xf>
    <xf numFmtId="0" fontId="0" fillId="0" borderId="25" xfId="0" applyFill="1" applyBorder="1" applyAlignment="1">
      <alignment wrapText="1"/>
    </xf>
    <xf numFmtId="9" fontId="0" fillId="2" borderId="35" xfId="0" applyNumberFormat="1" applyFill="1" applyBorder="1"/>
    <xf numFmtId="9" fontId="0" fillId="0" borderId="28" xfId="0" applyNumberFormat="1" applyBorder="1"/>
    <xf numFmtId="9" fontId="0" fillId="0" borderId="25" xfId="0" applyNumberFormat="1" applyBorder="1"/>
    <xf numFmtId="0" fontId="4" fillId="0" borderId="0" xfId="0" applyFont="1" applyAlignment="1">
      <alignment wrapText="1"/>
    </xf>
    <xf numFmtId="166" fontId="0" fillId="2" borderId="21" xfId="1" applyNumberFormat="1" applyFont="1" applyFill="1" applyBorder="1"/>
    <xf numFmtId="166" fontId="0" fillId="8" borderId="21" xfId="1" applyNumberFormat="1" applyFont="1" applyFill="1" applyBorder="1"/>
    <xf numFmtId="166" fontId="0" fillId="2" borderId="27" xfId="0" applyNumberFormat="1" applyFill="1" applyBorder="1"/>
    <xf numFmtId="166" fontId="0" fillId="2" borderId="28" xfId="0" applyNumberFormat="1" applyFill="1" applyBorder="1"/>
    <xf numFmtId="0" fontId="0" fillId="15" borderId="28" xfId="0" applyFill="1" applyBorder="1"/>
    <xf numFmtId="166" fontId="0" fillId="2" borderId="23" xfId="0" applyNumberFormat="1" applyFill="1" applyBorder="1"/>
    <xf numFmtId="166" fontId="0" fillId="2" borderId="1" xfId="0" applyNumberFormat="1" applyFill="1" applyBorder="1"/>
    <xf numFmtId="166" fontId="0" fillId="2" borderId="25" xfId="0" applyNumberFormat="1" applyFill="1" applyBorder="1"/>
    <xf numFmtId="166" fontId="0" fillId="0" borderId="27" xfId="0" applyNumberFormat="1" applyBorder="1"/>
    <xf numFmtId="166" fontId="0" fillId="0" borderId="28" xfId="0" applyNumberFormat="1" applyBorder="1"/>
    <xf numFmtId="0" fontId="0" fillId="16" borderId="28" xfId="0" applyFill="1" applyBorder="1"/>
    <xf numFmtId="166" fontId="0" fillId="0" borderId="25" xfId="0" applyNumberFormat="1" applyBorder="1"/>
    <xf numFmtId="0" fontId="20" fillId="0" borderId="0" xfId="0" applyFont="1"/>
    <xf numFmtId="166" fontId="0" fillId="0" borderId="1" xfId="0" applyNumberFormat="1" applyBorder="1"/>
    <xf numFmtId="166" fontId="0" fillId="0" borderId="23" xfId="0" applyNumberFormat="1" applyBorder="1"/>
    <xf numFmtId="166" fontId="0" fillId="2" borderId="2" xfId="0" applyNumberFormat="1" applyFill="1" applyBorder="1"/>
    <xf numFmtId="3" fontId="0" fillId="2" borderId="27" xfId="0" applyNumberFormat="1" applyFill="1" applyBorder="1"/>
    <xf numFmtId="3" fontId="0" fillId="2" borderId="29" xfId="0" applyNumberFormat="1" applyFill="1" applyBorder="1"/>
    <xf numFmtId="3" fontId="0" fillId="2" borderId="23" xfId="0" applyNumberFormat="1" applyFill="1" applyBorder="1"/>
    <xf numFmtId="3" fontId="0" fillId="2" borderId="6" xfId="0" applyNumberFormat="1" applyFill="1" applyBorder="1"/>
    <xf numFmtId="3" fontId="0" fillId="2" borderId="24" xfId="0" applyNumberFormat="1" applyFill="1" applyBorder="1"/>
    <xf numFmtId="3" fontId="0" fillId="2" borderId="26" xfId="0" applyNumberFormat="1" applyFill="1" applyBorder="1"/>
    <xf numFmtId="3" fontId="0" fillId="0" borderId="27" xfId="0" applyNumberFormat="1" applyBorder="1"/>
    <xf numFmtId="3" fontId="0" fillId="0" borderId="29" xfId="0" applyNumberFormat="1" applyBorder="1"/>
    <xf numFmtId="3" fontId="0" fillId="0" borderId="24" xfId="0" applyNumberFormat="1" applyBorder="1"/>
    <xf numFmtId="3" fontId="0" fillId="0" borderId="26" xfId="0" applyNumberFormat="1" applyBorder="1"/>
    <xf numFmtId="3" fontId="0" fillId="0" borderId="23" xfId="0" applyNumberFormat="1" applyBorder="1"/>
    <xf numFmtId="3" fontId="0" fillId="0" borderId="6" xfId="0" applyNumberFormat="1" applyBorder="1"/>
    <xf numFmtId="3" fontId="0" fillId="2" borderId="34" xfId="0" applyNumberFormat="1" applyFill="1" applyBorder="1"/>
    <xf numFmtId="3" fontId="0" fillId="2" borderId="35" xfId="0" applyNumberFormat="1" applyFill="1" applyBorder="1"/>
    <xf numFmtId="167" fontId="0" fillId="0" borderId="0" xfId="0" applyNumberFormat="1"/>
    <xf numFmtId="0" fontId="21" fillId="0" borderId="0" xfId="0" applyFont="1"/>
    <xf numFmtId="166" fontId="10" fillId="2" borderId="28" xfId="0" applyNumberFormat="1" applyFont="1" applyFill="1" applyBorder="1"/>
    <xf numFmtId="166" fontId="10" fillId="2" borderId="1" xfId="0" applyNumberFormat="1" applyFont="1" applyFill="1" applyBorder="1"/>
    <xf numFmtId="166" fontId="10" fillId="2" borderId="25" xfId="0" applyNumberFormat="1" applyFont="1" applyFill="1" applyBorder="1"/>
    <xf numFmtId="166" fontId="10" fillId="0" borderId="28" xfId="0" applyNumberFormat="1" applyFont="1" applyBorder="1"/>
    <xf numFmtId="166" fontId="10" fillId="0" borderId="25" xfId="0" applyNumberFormat="1" applyFont="1" applyBorder="1"/>
    <xf numFmtId="166" fontId="10" fillId="0" borderId="1" xfId="0" applyNumberFormat="1" applyFont="1" applyBorder="1"/>
    <xf numFmtId="166" fontId="10" fillId="2" borderId="2" xfId="0" applyNumberFormat="1" applyFont="1" applyFill="1" applyBorder="1"/>
    <xf numFmtId="0" fontId="10" fillId="16" borderId="28" xfId="0" applyFont="1" applyFill="1" applyBorder="1"/>
    <xf numFmtId="0" fontId="10" fillId="15" borderId="28" xfId="0" applyFont="1" applyFill="1" applyBorder="1"/>
    <xf numFmtId="0" fontId="4" fillId="0" borderId="0" xfId="0" applyFont="1" applyFill="1"/>
    <xf numFmtId="0" fontId="0" fillId="0" borderId="0" xfId="0" applyFill="1" applyAlignment="1">
      <alignment wrapText="1"/>
    </xf>
    <xf numFmtId="9" fontId="0" fillId="0" borderId="0" xfId="10" applyNumberFormat="1" applyFont="1" applyFill="1"/>
    <xf numFmtId="9" fontId="4" fillId="14" borderId="24" xfId="0" applyNumberFormat="1" applyFont="1" applyFill="1" applyBorder="1" applyAlignment="1">
      <alignment wrapText="1"/>
    </xf>
    <xf numFmtId="166" fontId="4" fillId="2" borderId="21" xfId="1" applyNumberFormat="1" applyFont="1" applyFill="1" applyBorder="1"/>
    <xf numFmtId="0" fontId="0" fillId="0" borderId="0" xfId="0" applyAlignment="1">
      <alignment horizontal="left"/>
    </xf>
    <xf numFmtId="0" fontId="4" fillId="14" borderId="20" xfId="0" applyFont="1" applyFill="1" applyBorder="1" applyAlignment="1">
      <alignment horizontal="center"/>
    </xf>
    <xf numFmtId="0" fontId="4" fillId="14" borderId="21" xfId="0" applyFont="1" applyFill="1" applyBorder="1" applyAlignment="1">
      <alignment horizontal="center"/>
    </xf>
    <xf numFmtId="0" fontId="4" fillId="14" borderId="22" xfId="0" applyFont="1" applyFill="1" applyBorder="1" applyAlignment="1">
      <alignment horizontal="center"/>
    </xf>
    <xf numFmtId="0" fontId="4" fillId="6" borderId="0" xfId="0" applyFont="1" applyFill="1" applyAlignment="1">
      <alignment horizontal="center"/>
    </xf>
    <xf numFmtId="0" fontId="4" fillId="4" borderId="0" xfId="0" applyFont="1" applyFill="1" applyAlignment="1">
      <alignment horizontal="center"/>
    </xf>
    <xf numFmtId="0" fontId="0" fillId="4" borderId="0" xfId="0" applyFill="1" applyAlignment="1">
      <alignment horizontal="center" vertical="center"/>
    </xf>
  </cellXfs>
  <cellStyles count="12">
    <cellStyle name="Comma" xfId="1" builtinId="3"/>
    <cellStyle name="Comma 2" xfId="3"/>
    <cellStyle name="Comma 2 2" xfId="9"/>
    <cellStyle name="Currency 2" xfId="4"/>
    <cellStyle name="Hyperlink" xfId="11" builtinId="8"/>
    <cellStyle name="Hyperlink 2" xfId="5"/>
    <cellStyle name="Normal" xfId="0" builtinId="0"/>
    <cellStyle name="Normal 2" xfId="6"/>
    <cellStyle name="Normal 3" xfId="7"/>
    <cellStyle name="Normal 3 2" xfId="8"/>
    <cellStyle name="Percent" xfId="10" builtinId="5"/>
    <cellStyle name="Percent 2" xfId="2"/>
  </cellStyles>
  <dxfs count="141">
    <dxf>
      <font>
        <b val="0"/>
        <i val="0"/>
        <strike val="0"/>
        <condense val="0"/>
        <extend val="0"/>
        <outline val="0"/>
        <shadow val="0"/>
        <u val="none"/>
        <vertAlign val="baseline"/>
        <sz val="9"/>
        <color theme="1"/>
        <name val="Calibri"/>
        <scheme val="minor"/>
      </font>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theme="4" tint="0.39997558519241921"/>
        </top>
        <bottom style="thin">
          <color indexed="64"/>
        </bottom>
      </border>
    </dxf>
    <dxf>
      <font>
        <strike val="0"/>
        <outline val="0"/>
        <shadow val="0"/>
        <u val="none"/>
        <vertAlign val="baseline"/>
        <sz val="11"/>
        <name val="Calibri"/>
        <scheme val="minor"/>
      </font>
      <alignment horizontal="left" textRotation="0" wrapText="1" indent="0" justifyLastLine="0" shrinkToFit="0" readingOrder="0"/>
    </dxf>
    <dxf>
      <border outline="0">
        <bottom style="thin">
          <color theme="4" tint="0.39997558519241921"/>
        </bottom>
      </border>
    </dxf>
    <dxf>
      <font>
        <b/>
        <i val="0"/>
        <strike val="0"/>
        <condense val="0"/>
        <extend val="0"/>
        <outline val="0"/>
        <shadow val="0"/>
        <u val="none"/>
        <vertAlign val="baseline"/>
        <sz val="11"/>
        <color theme="0"/>
        <name val="Calibri"/>
        <scheme val="minor"/>
      </font>
      <fill>
        <patternFill patternType="solid">
          <fgColor theme="4"/>
          <bgColor theme="4"/>
        </patternFill>
      </fill>
      <alignment horizontal="left" vertical="top" textRotation="0" wrapText="1" indent="0" justifyLastLine="0" shrinkToFit="0" readingOrder="0"/>
    </dxf>
    <dxf>
      <alignment horizontal="general" vertical="top" textRotation="0" wrapText="0" indent="0" justifyLastLine="0" shrinkToFit="0" readingOrder="0"/>
    </dxf>
    <dxf>
      <alignment horizontal="center" vertical="top" textRotation="0" wrapText="0" indent="0" justifyLastLine="0" shrinkToFit="0" readingOrder="0"/>
    </dxf>
    <dxf>
      <font>
        <b val="0"/>
        <i val="0"/>
        <strike val="0"/>
        <condense val="0"/>
        <extend val="0"/>
        <outline val="0"/>
        <shadow val="0"/>
        <u val="none"/>
        <vertAlign val="baseline"/>
        <sz val="8"/>
        <color theme="1"/>
        <name val="Calibri"/>
        <scheme val="minor"/>
      </font>
      <fill>
        <patternFill patternType="solid">
          <fgColor theme="4" tint="0.79998168889431442"/>
          <bgColor theme="4" tint="0.79998168889431442"/>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top style="thin">
          <color theme="4" tint="0.39997558519241921"/>
        </top>
        <bottom style="thin">
          <color indexed="64"/>
        </bottom>
      </border>
    </dxf>
    <dxf>
      <border outline="0">
        <bottom style="thin">
          <color theme="4" tint="0.39997558519241921"/>
        </bottom>
      </border>
    </dxf>
    <dxf>
      <font>
        <b/>
        <i val="0"/>
        <strike val="0"/>
        <condense val="0"/>
        <extend val="0"/>
        <outline val="0"/>
        <shadow val="0"/>
        <u val="none"/>
        <vertAlign val="baseline"/>
        <sz val="11"/>
        <color theme="0"/>
        <name val="Calibri"/>
        <scheme val="minor"/>
      </font>
      <fill>
        <patternFill patternType="solid">
          <fgColor theme="4"/>
          <bgColor theme="4"/>
        </patternFill>
      </fill>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font>
        <b val="0"/>
        <i val="0"/>
        <strike val="0"/>
        <condense val="0"/>
        <extend val="0"/>
        <outline val="0"/>
        <shadow val="0"/>
        <u val="none"/>
        <vertAlign val="baseline"/>
        <sz val="8"/>
        <color theme="1"/>
        <name val="Calibri"/>
        <scheme val="minor"/>
      </font>
      <fill>
        <patternFill patternType="solid">
          <fgColor theme="4" tint="0.79998168889431442"/>
          <bgColor theme="4" tint="0.79998168889431442"/>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top style="thin">
          <color theme="4" tint="0.39997558519241921"/>
        </top>
        <bottom style="thin">
          <color indexed="64"/>
        </bottom>
      </border>
    </dxf>
    <dxf>
      <border outline="0">
        <bottom style="thin">
          <color theme="4" tint="0.39997558519241921"/>
        </bottom>
      </border>
    </dxf>
    <dxf>
      <font>
        <b/>
        <i val="0"/>
        <strike val="0"/>
        <condense val="0"/>
        <extend val="0"/>
        <outline val="0"/>
        <shadow val="0"/>
        <u val="none"/>
        <vertAlign val="baseline"/>
        <sz val="11"/>
        <color theme="0"/>
        <name val="Calibri"/>
        <scheme val="minor"/>
      </font>
      <fill>
        <patternFill patternType="solid">
          <fgColor theme="4"/>
          <bgColor theme="4"/>
        </patternFill>
      </fill>
      <alignment horizontal="general" vertical="top" textRotation="0" wrapText="0" indent="0" justifyLastLine="0" shrinkToFit="0" readingOrder="0"/>
    </dxf>
    <dxf>
      <font>
        <strike val="0"/>
        <outline val="0"/>
        <shadow val="0"/>
        <u val="none"/>
        <vertAlign val="baseline"/>
        <sz val="11"/>
        <name val="Calibri"/>
        <scheme val="minor"/>
      </font>
      <alignment horizontal="general" vertical="top" textRotation="0" wrapText="0" indent="0" justifyLastLine="0" shrinkToFit="0" readingOrder="0"/>
    </dxf>
    <dxf>
      <font>
        <strike val="0"/>
        <outline val="0"/>
        <shadow val="0"/>
        <u val="none"/>
        <vertAlign val="baseline"/>
        <sz val="11"/>
        <name val="Calibri"/>
        <scheme val="minor"/>
      </font>
      <alignment horizontal="general" vertical="top" textRotation="0" wrapText="0" indent="0" justifyLastLine="0" shrinkToFit="0" readingOrder="0"/>
    </dxf>
    <dxf>
      <font>
        <strike val="0"/>
        <outline val="0"/>
        <shadow val="0"/>
        <u val="none"/>
        <vertAlign val="baseline"/>
        <sz val="11"/>
        <name val="Calibri"/>
        <scheme val="minor"/>
      </font>
    </dxf>
    <dxf>
      <font>
        <b val="0"/>
        <i val="0"/>
        <strike val="0"/>
        <condense val="0"/>
        <extend val="0"/>
        <outline val="0"/>
        <shadow val="0"/>
        <u val="none"/>
        <vertAlign val="baseline"/>
        <sz val="11"/>
        <color theme="1"/>
        <name val="Calibri"/>
        <scheme val="minor"/>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theme="4" tint="0.39997558519241921"/>
        </top>
        <bottom style="thin">
          <color indexed="64"/>
        </bottom>
      </border>
    </dxf>
    <dxf>
      <font>
        <strike val="0"/>
        <outline val="0"/>
        <shadow val="0"/>
        <u val="none"/>
        <vertAlign val="baseline"/>
        <sz val="11"/>
        <name val="Calibri"/>
        <scheme val="minor"/>
      </font>
    </dxf>
    <dxf>
      <font>
        <strike val="0"/>
        <outline val="0"/>
        <shadow val="0"/>
        <u val="none"/>
        <vertAlign val="baseline"/>
        <sz val="11"/>
        <name val="Calibri"/>
        <scheme val="minor"/>
      </font>
    </dxf>
    <dxf>
      <alignment horizontal="general" vertical="top" textRotation="0" wrapText="0" indent="0" justifyLastLine="0" shrinkToFit="0" readingOrder="0"/>
    </dxf>
    <dxf>
      <alignment horizontal="general" vertical="top" textRotation="0" wrapText="0" indent="0" justifyLastLine="0" shrinkToFit="0" readingOrder="0"/>
    </dxf>
    <dxf>
      <font>
        <b val="0"/>
        <i val="0"/>
        <strike val="0"/>
        <condense val="0"/>
        <extend val="0"/>
        <outline val="0"/>
        <shadow val="0"/>
        <u val="none"/>
        <vertAlign val="baseline"/>
        <sz val="8"/>
        <color theme="1"/>
        <name val="Calibri"/>
        <scheme val="minor"/>
      </font>
      <fill>
        <patternFill patternType="solid">
          <fgColor theme="4" tint="0.79998168889431442"/>
          <bgColor theme="4" tint="0.79998168889431442"/>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top style="thin">
          <color theme="4" tint="0.39997558519241921"/>
        </top>
        <bottom style="thin">
          <color indexed="64"/>
        </bottom>
      </border>
    </dxf>
    <dxf>
      <border outline="0">
        <bottom style="thin">
          <color theme="4" tint="0.39997558519241921"/>
        </bottom>
      </border>
    </dxf>
    <dxf>
      <font>
        <b val="0"/>
        <i val="0"/>
        <strike val="0"/>
        <condense val="0"/>
        <extend val="0"/>
        <outline val="0"/>
        <shadow val="0"/>
        <u val="none"/>
        <vertAlign val="baseline"/>
        <sz val="11"/>
        <color theme="1"/>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theme="4" tint="0.39997558519241921"/>
        </top>
      </border>
    </dxf>
    <dxf>
      <fill>
        <patternFill patternType="solid">
          <fgColor indexed="64"/>
          <bgColor rgb="FFFFFF00"/>
        </patternFill>
      </fill>
      <alignment horizontal="general" vertical="top" textRotation="0" wrapText="0" indent="0" justifyLastLine="0" shrinkToFit="0" readingOrder="0"/>
    </dxf>
    <dxf>
      <numFmt numFmtId="0" formatCode="General"/>
      <fill>
        <patternFill patternType="solid">
          <fgColor indexed="64"/>
          <bgColor rgb="FFFFFF00"/>
        </patternFill>
      </fill>
      <alignment horizontal="center"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4" formatCode="#,##0.00"/>
      <fill>
        <patternFill patternType="solid">
          <fgColor theme="4" tint="0.79998168889431442"/>
          <bgColor theme="4" tint="0.79998168889431442"/>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top style="thin">
          <color theme="4" tint="0.39997558519241921"/>
        </top>
        <bottom style="thin">
          <color indexed="64"/>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right"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1"/>
        <color theme="0"/>
        <name val="Calibri"/>
        <scheme val="minor"/>
      </font>
      <fill>
        <patternFill patternType="solid">
          <fgColor theme="4"/>
          <bgColor theme="4"/>
        </patternFill>
      </fill>
      <alignment horizontal="general" vertical="top" textRotation="0" wrapText="0" indent="0" justifyLastLine="0" shrinkToFit="0" readingOrder="0"/>
    </dxf>
    <dxf>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8"/>
        <color theme="1"/>
        <name val="Calibri"/>
        <scheme val="minor"/>
      </font>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Calibri"/>
        <scheme val="minor"/>
      </font>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4" formatCode="#,##0.0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4" formatCode="#,##0.0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4" formatCode="#,##0.0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Calibri"/>
        <scheme val="minor"/>
      </font>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4" formatCode="0.0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4" formatCode="0.0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4" formatCode="0.0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Calibri"/>
        <scheme val="minor"/>
      </font>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2060"/>
        <name val="Calibri"/>
        <scheme val="minor"/>
      </font>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4" formatCode="#,##0.0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Calibri"/>
        <scheme val="minor"/>
      </font>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4" formatCode="#,##0.0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4" formatCode="#,##0.0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66" formatCode="_(* #,##0_);_(* \(#,##0\);_(* &quot;-&quot;??_);_(@_)"/>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4" formatCode="#,##0.0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4" formatCode="#,##0.0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66" formatCode="_(* #,##0_);_(* \(#,##0\);_(* &quot;-&quot;??_);_(@_)"/>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66" formatCode="_(* #,##0_);_(* \(#,##0\);_(* &quot;-&quot;??_);_(@_)"/>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general" vertical="top" textRotation="0" wrapText="0" indent="0" justifyLastLine="0" shrinkToFit="0" readingOrder="0"/>
    </dxf>
    <dxf>
      <numFmt numFmtId="13" formatCode="0%"/>
    </dxf>
    <dxf>
      <numFmt numFmtId="13" formatCode="0%"/>
    </dxf>
    <dxf>
      <numFmt numFmtId="3" formatCode="#,##0"/>
    </dxf>
    <dxf>
      <font>
        <b val="0"/>
        <i val="0"/>
        <strike val="0"/>
        <condense val="0"/>
        <extend val="0"/>
        <outline val="0"/>
        <shadow val="0"/>
        <u val="none"/>
        <vertAlign val="baseline"/>
        <sz val="11"/>
        <color theme="1"/>
        <name val="Calibri"/>
        <scheme val="minor"/>
      </font>
      <numFmt numFmtId="166" formatCode="_(* #,##0_);_(* \(#,##0\);_(* &quot;-&quot;??_);_(@_)"/>
    </dxf>
    <dxf>
      <numFmt numFmtId="3" formatCode="#,##0"/>
    </dxf>
    <dxf>
      <numFmt numFmtId="3" formatCode="#,##0"/>
    </dxf>
    <dxf>
      <border outline="0">
        <left style="thin">
          <color indexed="64"/>
        </left>
      </border>
    </dxf>
    <dxf>
      <font>
        <b val="0"/>
        <i val="0"/>
        <strike val="0"/>
        <condense val="0"/>
        <extend val="0"/>
        <outline val="0"/>
        <shadow val="0"/>
        <u val="none"/>
        <vertAlign val="baseline"/>
        <sz val="11"/>
        <color auto="1"/>
        <name val="Calibri"/>
        <scheme val="minor"/>
      </font>
      <numFmt numFmtId="13" formatCode="0%"/>
      <fill>
        <patternFill patternType="solid">
          <fgColor indexed="64"/>
          <bgColor rgb="FF92D050"/>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solid">
          <fgColor indexed="64"/>
          <bgColor rgb="FF92D05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solid">
          <fgColor indexed="64"/>
          <bgColor rgb="FF92D05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solid">
          <fgColor indexed="64"/>
          <bgColor rgb="FF92D05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solid">
          <fgColor indexed="64"/>
          <bgColor rgb="FF92D050"/>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Calibri"/>
        <scheme val="minor"/>
      </font>
      <fill>
        <patternFill patternType="solid">
          <fgColor indexed="64"/>
          <bgColor rgb="FF92D050"/>
        </patternFill>
      </fill>
      <alignment horizontal="center" vertical="center"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auto="1"/>
        <name val="Calibri"/>
        <scheme val="minor"/>
      </font>
      <fill>
        <patternFill patternType="solid">
          <fgColor indexed="64"/>
          <bgColor rgb="FF92D050"/>
        </patternFill>
      </fill>
      <alignment horizontal="center" vertical="bottom" textRotation="0" wrapText="0" indent="0" justifyLastLine="0" shrinkToFit="0" readingOrder="0"/>
      <border diagonalUp="0" diagonalDown="0">
        <left style="thin">
          <color indexed="64"/>
        </left>
        <right style="thin">
          <color indexed="64"/>
        </right>
        <top/>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solid">
          <fgColor indexed="64"/>
          <bgColor rgb="FF92D050"/>
        </patternFill>
      </fill>
    </dxf>
    <dxf>
      <border outline="0">
        <bottom style="thin">
          <color indexed="64"/>
        </bottom>
      </border>
    </dxf>
    <dxf>
      <font>
        <b/>
        <i val="0"/>
        <strike val="0"/>
        <condense val="0"/>
        <extend val="0"/>
        <outline val="0"/>
        <shadow val="0"/>
        <u val="none"/>
        <vertAlign val="baseline"/>
        <sz val="11"/>
        <color auto="1"/>
        <name val="Calibri"/>
        <scheme val="minor"/>
      </font>
      <fill>
        <patternFill patternType="solid">
          <fgColor indexed="64"/>
          <bgColor theme="2"/>
        </patternFill>
      </fill>
      <border diagonalUp="0" diagonalDown="0" outline="0">
        <left style="thin">
          <color indexed="64"/>
        </left>
        <right style="thin">
          <color indexed="64"/>
        </right>
        <top/>
        <bottom/>
      </border>
    </dxf>
    <dxf>
      <alignment horizontal="center" vertical="bottom" textRotation="0" wrapText="0" indent="0" justifyLastLine="0" shrinkToFit="0" readingOrder="0"/>
    </dxf>
    <dxf>
      <alignment horizontal="center" vertical="bottom" textRotation="0" wrapText="0" indent="0" justifyLastLine="0" shrinkToFit="0" readingOrder="0"/>
    </dxf>
    <dxf>
      <numFmt numFmtId="3" formatCode="#,##0"/>
    </dxf>
    <dxf>
      <numFmt numFmtId="3" formatCode="#,##0"/>
    </dxf>
  </dxfs>
  <tableStyles count="0" defaultTableStyle="TableStyleMedium2" defaultPivotStyle="PivotStyleMedium9"/>
  <colors>
    <mruColors>
      <color rgb="FFAD031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rankg.VSOUK\AppData\Local\Microsoft\Windows\Temporary%20Internet%20Files\Content.Outlook\DUF1LH9O\CASH%20Beneficiary%20database%20(3)%20-%20with%20sample.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Master"/>
      <sheetName val="Group 1"/>
      <sheetName val="Group 2"/>
      <sheetName val="Group 3"/>
      <sheetName val="Group 4"/>
      <sheetName val="Group 5"/>
      <sheetName val="Group 6"/>
      <sheetName val="Group 7"/>
      <sheetName val="Group 8"/>
      <sheetName val="Group 9"/>
      <sheetName val="Group 10"/>
      <sheetName val="Group 11"/>
      <sheetName val="Group 12"/>
      <sheetName val="Group 13"/>
      <sheetName val="Group 14"/>
      <sheetName val="Group 15"/>
      <sheetName val="Group 16"/>
      <sheetName val="Group 17"/>
      <sheetName val="Group 18"/>
      <sheetName val="Group 19"/>
      <sheetName val="Group 20"/>
      <sheetName val="Group 21"/>
      <sheetName val="Group 22"/>
      <sheetName val="Group 23"/>
      <sheetName val="Group 24"/>
      <sheetName val="Group 25"/>
      <sheetName val="Group 26"/>
      <sheetName val="Group 27"/>
      <sheetName val="Group 28"/>
      <sheetName val="Group 29"/>
      <sheetName val="Group 30"/>
      <sheetName val="Group 31"/>
      <sheetName val="Group 32"/>
      <sheetName val="Group 33"/>
      <sheetName val="Group 34"/>
      <sheetName val="Group 35"/>
      <sheetName val="Group 36"/>
      <sheetName val="Group 37"/>
      <sheetName val="Group 38"/>
      <sheetName val="Group 39"/>
      <sheetName val="Group 40"/>
      <sheetName val="Group 41"/>
      <sheetName val="Group 42"/>
      <sheetName val="Group 43"/>
      <sheetName val="Group 44"/>
      <sheetName val="Group 45"/>
      <sheetName val="Group 46"/>
      <sheetName val="Group 47"/>
      <sheetName val="Group 48"/>
      <sheetName val="Group 49"/>
      <sheetName val="Group 50"/>
    </sheetNames>
    <sheetDataSet>
      <sheetData sheetId="0"/>
      <sheetData sheetId="1"/>
      <sheetData sheetId="2">
        <row r="1">
          <cell r="B1" t="str">
            <v>KIDATU(Donge Mtambile)</v>
          </cell>
        </row>
      </sheetData>
      <sheetData sheetId="3">
        <row r="1">
          <cell r="B1" t="str">
            <v>MWEMBE CHENGA(Donge Mtambile)</v>
          </cell>
        </row>
      </sheetData>
      <sheetData sheetId="4">
        <row r="1">
          <cell r="B1" t="str">
            <v>KIJAMBO NA WATU</v>
          </cell>
        </row>
      </sheetData>
      <sheetData sheetId="5">
        <row r="1">
          <cell r="B1" t="str">
            <v>TUSITENGANE(CHUWINI B)</v>
          </cell>
        </row>
      </sheetData>
      <sheetData sheetId="6">
        <row r="1">
          <cell r="B1" t="str">
            <v>MNYONGE MBAGO(MATETEMA)</v>
          </cell>
        </row>
      </sheetData>
      <sheetData sheetId="7">
        <row r="1">
          <cell r="B1" t="str">
            <v>MWANZO MGUMU(FUJONI)</v>
          </cell>
        </row>
      </sheetData>
      <sheetData sheetId="8">
        <row r="1">
          <cell r="B1" t="str">
            <v>NIA NJEMA BANGALOO(MAHONDA B)</v>
          </cell>
        </row>
      </sheetData>
      <sheetData sheetId="9">
        <row r="1">
          <cell r="B1" t="str">
            <v>NEEMA ZA MOLA(MAHONDA .A)</v>
          </cell>
        </row>
      </sheetData>
      <sheetData sheetId="10">
        <row r="1">
          <cell r="B1" t="str">
            <v>NGUVU KAZI(MKUMBI MAHONDA)</v>
          </cell>
        </row>
      </sheetData>
      <sheetData sheetId="11">
        <row r="1">
          <cell r="B1" t="str">
            <v>TUJIPANGE(UNGUJA UKUU TINDINI)</v>
          </cell>
        </row>
      </sheetData>
      <sheetData sheetId="12">
        <row r="1">
          <cell r="B1" t="str">
            <v>NASISI TUWE MBELE(MPAPA)</v>
          </cell>
        </row>
      </sheetData>
      <sheetData sheetId="13">
        <row r="1">
          <cell r="B1" t="str">
            <v>BORA IMANI(KIVUNGE)</v>
          </cell>
        </row>
      </sheetData>
      <sheetData sheetId="14">
        <row r="1">
          <cell r="B1" t="str">
            <v>ENEANI TUBARIKI(DONGE KIPANGE)</v>
          </cell>
        </row>
      </sheetData>
      <sheetData sheetId="15">
        <row r="1">
          <cell r="B1" t="str">
            <v>TUSTAHAMILIANE(MUWANDA)</v>
          </cell>
        </row>
      </sheetData>
      <sheetData sheetId="16">
        <row r="1">
          <cell r="B1" t="str">
            <v>YARABI TUWEZESHE(BUBUBU)</v>
          </cell>
        </row>
      </sheetData>
      <sheetData sheetId="17">
        <row r="1">
          <cell r="B1" t="str">
            <v>MKATALENI(MKATALENI)</v>
          </cell>
        </row>
      </sheetData>
      <sheetData sheetId="18">
        <row r="1">
          <cell r="B1" t="str">
            <v xml:space="preserve"> MKOROFI SI MWENZETU(DONGE CHECHELE)</v>
          </cell>
        </row>
      </sheetData>
      <sheetData sheetId="19">
        <row r="1">
          <cell r="B1" t="str">
            <v>TUSIMAME IMARA</v>
          </cell>
        </row>
      </sheetData>
      <sheetData sheetId="20">
        <row r="1">
          <cell r="B1" t="str">
            <v>TUPENDANE(DONGE PALE)</v>
          </cell>
        </row>
      </sheetData>
      <sheetData sheetId="21">
        <row r="1">
          <cell r="B1" t="str">
            <v>NASISI TUTHAMINIWE(CHUTAMA)</v>
          </cell>
        </row>
      </sheetData>
      <sheetData sheetId="22">
        <row r="1">
          <cell r="B1" t="str">
            <v>TUJITENGE NA UMASKINI(MAHONDA)</v>
          </cell>
        </row>
      </sheetData>
      <sheetData sheetId="23">
        <row r="1">
          <cell r="B1" t="str">
            <v>CHUMA UTUMIE(MTENDE)</v>
          </cell>
        </row>
      </sheetData>
      <sheetData sheetId="24">
        <row r="1">
          <cell r="B1" t="str">
            <v xml:space="preserve"> ZAVELOCPA(MTWANGO)</v>
          </cell>
        </row>
      </sheetData>
      <sheetData sheetId="25">
        <row r="1">
          <cell r="B1" t="str">
            <v>TUMUAMINI MUNGU(KIVUNGE)</v>
          </cell>
        </row>
      </sheetData>
      <sheetData sheetId="26">
        <row r="1">
          <cell r="B1" t="str">
            <v>UMOJA NI NGUVU(CHUINI .A)</v>
          </cell>
        </row>
      </sheetData>
      <sheetData sheetId="27">
        <row r="1">
          <cell r="B1" t="str">
            <v>TUWEWASTAHAMILIVU(KIKOBA DONGE MCHANGANI)</v>
          </cell>
        </row>
      </sheetData>
      <sheetData sheetId="28">
        <row r="1">
          <cell r="B1" t="str">
            <v>SISI KWA SISI(DONGE KIJIMOTO)</v>
          </cell>
        </row>
      </sheetData>
      <sheetData sheetId="29">
        <row r="1">
          <cell r="B1" t="str">
            <v>SISI KWA SISI(DONGE KARANGE)</v>
          </cell>
        </row>
      </sheetData>
      <sheetData sheetId="30">
        <row r="1">
          <cell r="B1" t="str">
            <v>UMOJA NI NGUVU(MKWAJUNI)</v>
          </cell>
        </row>
      </sheetData>
      <sheetData sheetId="31">
        <row r="1">
          <cell r="B1" t="str">
            <v>SISI KWA SISI(DONGE KARANGE)</v>
          </cell>
        </row>
      </sheetData>
      <sheetData sheetId="32">
        <row r="1">
          <cell r="B1" t="str">
            <v>KUMEKUCHA(MAKUNDUCHI)</v>
          </cell>
        </row>
      </sheetData>
      <sheetData sheetId="33">
        <row r="1">
          <cell r="B1" t="str">
            <v>NASISI TUNAWEZA(MCHANGANI SHAMBA)</v>
          </cell>
        </row>
      </sheetData>
      <sheetData sheetId="34">
        <row r="1">
          <cell r="B1" t="str">
            <v>KITOGANI (KITOGANI)</v>
          </cell>
        </row>
      </sheetData>
      <sheetData sheetId="35">
        <row r="1">
          <cell r="B1" t="str">
            <v>TUNAWEZA(UZINI)</v>
          </cell>
        </row>
      </sheetData>
      <sheetData sheetId="36">
        <row r="1">
          <cell r="B1" t="str">
            <v>MTO WA PWANI</v>
          </cell>
        </row>
      </sheetData>
      <sheetData sheetId="37">
        <row r="1">
          <cell r="B1" t="str">
            <v>TUJITAHIDI (NYAMANZI)</v>
          </cell>
        </row>
      </sheetData>
      <sheetData sheetId="38">
        <row r="1">
          <cell r="B1" t="str">
            <v>MOLA TUPE ( NDIJANI) )</v>
          </cell>
        </row>
      </sheetData>
      <sheetData sheetId="39">
        <row r="1">
          <cell r="B1" t="str">
            <v>KISAUNI CBR</v>
          </cell>
        </row>
      </sheetData>
      <sheetData sheetId="40">
        <row r="1">
          <cell r="B1" t="str">
            <v>(TUHURUMIENI) TUNDUNI</v>
          </cell>
        </row>
      </sheetData>
      <sheetData sheetId="41">
        <row r="1">
          <cell r="B1" t="str">
            <v>HIFADHI(DONGE PALE)</v>
          </cell>
        </row>
      </sheetData>
      <sheetData sheetId="42">
        <row r="1">
          <cell r="B1" t="str">
            <v>MARIDHIANO (MTENDE)</v>
          </cell>
        </row>
      </sheetData>
      <sheetData sheetId="43">
        <row r="1">
          <cell r="B1" t="str">
            <v>TUNAMUOMBA MUNGU (KIBENI)</v>
          </cell>
        </row>
      </sheetData>
      <sheetData sheetId="44">
        <row r="1">
          <cell r="B1" t="str">
            <v>MKOROFI SI MWENZETU ( JENDELE)</v>
          </cell>
        </row>
      </sheetData>
      <sheetData sheetId="45">
        <row r="1">
          <cell r="B1" t="str">
            <v>MYD0 (FUONI)</v>
          </cell>
        </row>
      </sheetData>
      <sheetData sheetId="46">
        <row r="1">
          <cell r="B1" t="str">
            <v>ARI MPYA (KOMBENI)</v>
          </cell>
        </row>
      </sheetData>
      <sheetData sheetId="47">
        <row r="1">
          <cell r="B1" t="str">
            <v>HATUKOSANI KIBONDENI (FUONI UWANDANI)</v>
          </cell>
        </row>
      </sheetData>
      <sheetData sheetId="48">
        <row r="1">
          <cell r="B1" t="str">
            <v>TUNAWEZA (DONGE MBIJI)</v>
          </cell>
        </row>
      </sheetData>
      <sheetData sheetId="49">
        <row r="1">
          <cell r="B1" t="str">
            <v>MVIVU HATUMTAKI (KOANI)</v>
          </cell>
        </row>
      </sheetData>
      <sheetData sheetId="50">
        <row r="1">
          <cell r="B1" t="str">
            <v>IMARA COOPERATIVE (DONGE CHANJANI)</v>
          </cell>
        </row>
      </sheetData>
      <sheetData sheetId="51">
        <row r="1">
          <cell r="B1" t="str">
            <v>TUNAMUOMBA MUNGU (UMBUJI)</v>
          </cell>
        </row>
      </sheetData>
    </sheetDataSet>
  </externalBook>
</externalLink>
</file>

<file path=xl/tables/table1.xml><?xml version="1.0" encoding="utf-8"?>
<table xmlns="http://schemas.openxmlformats.org/spreadsheetml/2006/main" id="4" name="Table4" displayName="Table4" ref="B3:I12" totalsRowShown="0">
  <autoFilter ref="B3:I12"/>
  <tableColumns count="8">
    <tableColumn id="1" name="Outcome"/>
    <tableColumn id="2" name="Stakeholder"/>
    <tableColumn id="3" name="Characteristic"/>
    <tableColumn id="4" name="Net value" dataDxfId="140">
      <calculatedColumnFormula>AVERAGEIFS(FarmerOUTCOMES[NET PROFIT LESS COUNTERFACTUAL],FarmerOUTCOMES[DI-Membership],"UWZ")</calculatedColumnFormula>
    </tableColumn>
    <tableColumn id="5" name="Value comment"/>
    <tableColumn id="6" name="Frequency"/>
    <tableColumn id="7" name="Frequency factor"/>
    <tableColumn id="8" name="Annualised proxy value" dataDxfId="139">
      <calculatedColumnFormula>Table4[[#This Row],[Net value]]*Table4[[#This Row],[Frequency factor]]</calculatedColumnFormula>
    </tableColumn>
  </tableColumns>
  <tableStyleInfo name="TableStyleLight16" showFirstColumn="0" showLastColumn="0" showRowStripes="1" showColumnStripes="0"/>
</table>
</file>

<file path=xl/tables/table10.xml><?xml version="1.0" encoding="utf-8"?>
<table xmlns="http://schemas.openxmlformats.org/spreadsheetml/2006/main" id="10" name="CFfarmer3" displayName="CFfarmer3" ref="B86:E147" totalsRowShown="0" tableBorderDxfId="45">
  <tableColumns count="4">
    <tableColumn id="1" name="DI-Group/Location" dataDxfId="44"/>
    <tableColumn id="2" name="3-Counterfactual" dataDxfId="43"/>
    <tableColumn id="3" name="3-CF Factor" dataDxfId="42"/>
    <tableColumn id="4" name="Notes" dataDxfId="41"/>
  </tableColumns>
  <tableStyleInfo name="TableStyleLight9" showFirstColumn="0" showLastColumn="0" showRowStripes="1" showColumnStripes="0"/>
</table>
</file>

<file path=xl/tables/table11.xml><?xml version="1.0" encoding="utf-8"?>
<table xmlns="http://schemas.openxmlformats.org/spreadsheetml/2006/main" id="12" name="CFfarmer2" displayName="CFfarmer2" ref="B20:E82" totalsRowShown="0" headerRowBorderDxfId="40" tableBorderDxfId="39" totalsRowBorderDxfId="38">
  <tableColumns count="4">
    <tableColumn id="1" name="DI-Group/Location" dataDxfId="37"/>
    <tableColumn id="2" name="2 - Counterfactual" dataDxfId="36"/>
    <tableColumn id="3" name="2-CF Factor" dataDxfId="35"/>
    <tableColumn id="4" name="Notes" dataDxfId="34"/>
  </tableColumns>
  <tableStyleInfo name="TableStyleLight9" showFirstColumn="0" showLastColumn="0" showRowStripes="1" showColumnStripes="0"/>
</table>
</file>

<file path=xl/tables/table12.xml><?xml version="1.0" encoding="utf-8"?>
<table xmlns="http://schemas.openxmlformats.org/spreadsheetml/2006/main" id="13" name="CFfarmer4" displayName="CFfarmer4" ref="B151:E211" totalsRowShown="0" headerRowDxfId="33" dataDxfId="32" tableBorderDxfId="31">
  <tableColumns count="4">
    <tableColumn id="1" name="DI-Group/Location" dataDxfId="30"/>
    <tableColumn id="2" name="4-Counterfactual" dataDxfId="29"/>
    <tableColumn id="3" name="4-CF Factor" dataDxfId="28"/>
    <tableColumn id="4" name="Notes" dataDxfId="27"/>
  </tableColumns>
  <tableStyleInfo name="TableStyleLight9" showFirstColumn="0" showLastColumn="0" showRowStripes="1" showColumnStripes="0"/>
</table>
</file>

<file path=xl/tables/table13.xml><?xml version="1.0" encoding="utf-8"?>
<table xmlns="http://schemas.openxmlformats.org/spreadsheetml/2006/main" id="14" name="CFfarmer5" displayName="CFfarmer5" ref="B215:E278" totalsRowShown="0" headerRowDxfId="26" headerRowBorderDxfId="25" tableBorderDxfId="24" totalsRowBorderDxfId="23">
  <tableColumns count="4">
    <tableColumn id="1" name="DI-Group/Location" dataDxfId="22"/>
    <tableColumn id="2" name="5-Counterfactual" dataDxfId="21"/>
    <tableColumn id="3" name="5-CF Factor" dataDxfId="20"/>
    <tableColumn id="4" name="Notes" dataDxfId="19"/>
  </tableColumns>
  <tableStyleInfo name="TableStyleLight9" showFirstColumn="0" showLastColumn="0" showRowStripes="1" showColumnStripes="0"/>
</table>
</file>

<file path=xl/tables/table14.xml><?xml version="1.0" encoding="utf-8"?>
<table xmlns="http://schemas.openxmlformats.org/spreadsheetml/2006/main" id="15" name="CFfarmer6" displayName="CFfarmer6" ref="B282:E344" totalsRowShown="0" headerRowDxfId="18" headerRowBorderDxfId="17" tableBorderDxfId="16" totalsRowBorderDxfId="15">
  <tableColumns count="4">
    <tableColumn id="1" name="DI-Group/Location" dataDxfId="14"/>
    <tableColumn id="2" name="6-Counterfactual" dataDxfId="13"/>
    <tableColumn id="3" name="6-CF Factor" dataDxfId="12"/>
    <tableColumn id="4" name="Notes" dataDxfId="11"/>
  </tableColumns>
  <tableStyleInfo name="TableStyleLight9" showFirstColumn="0" showLastColumn="0" showRowStripes="1" showColumnStripes="0"/>
</table>
</file>

<file path=xl/tables/table15.xml><?xml version="1.0" encoding="utf-8"?>
<table xmlns="http://schemas.openxmlformats.org/spreadsheetml/2006/main" id="16" name="CFfarmer7" displayName="CFfarmer7" ref="B348:E410" totalsRowShown="0" headerRowDxfId="10" dataDxfId="8" headerRowBorderDxfId="9" tableBorderDxfId="7">
  <tableColumns count="4">
    <tableColumn id="1" name="DI-Group/Location" dataDxfId="6"/>
    <tableColumn id="2" name="7-Counterfactual" dataDxfId="5"/>
    <tableColumn id="3" name="7-CF Factor" dataDxfId="4"/>
    <tableColumn id="4" name="Notes" dataDxfId="3"/>
  </tableColumns>
  <tableStyleInfo name="TableStyleLight9" showFirstColumn="0" showLastColumn="0" showRowStripes="1" showColumnStripes="0"/>
</table>
</file>

<file path=xl/tables/table16.xml><?xml version="1.0" encoding="utf-8"?>
<table xmlns="http://schemas.openxmlformats.org/spreadsheetml/2006/main" id="9" name="Table9" displayName="Table9" ref="B3:C33" totalsRowShown="0" tableBorderDxfId="2">
  <tableColumns count="2">
    <tableColumn id="1" name="Group/Location" dataDxfId="1"/>
    <tableColumn id="2" name="Explanation" dataDxfId="0"/>
  </tableColumns>
  <tableStyleInfo name="TableStyleLight2" showFirstColumn="0" showLastColumn="0" showRowStripes="1" showColumnStripes="0"/>
</table>
</file>

<file path=xl/tables/table2.xml><?xml version="1.0" encoding="utf-8"?>
<table xmlns="http://schemas.openxmlformats.org/spreadsheetml/2006/main" id="7" name="Table7" displayName="Table7" ref="B16:E30" totalsRowShown="0">
  <autoFilter ref="B16:E30"/>
  <tableColumns count="4">
    <tableColumn id="1" name="Stakeholder"/>
    <tableColumn id="2" name="Number"/>
    <tableColumn id="3" name="Assumption" dataDxfId="138"/>
    <tableColumn id="4" name="Source" dataDxfId="137"/>
  </tableColumns>
  <tableStyleInfo name="TableStyleLight16" showFirstColumn="0" showLastColumn="0" showRowStripes="1" showColumnStripes="0"/>
</table>
</file>

<file path=xl/tables/table3.xml><?xml version="1.0" encoding="utf-8"?>
<table xmlns="http://schemas.openxmlformats.org/spreadsheetml/2006/main" id="17" name="Attribution18" displayName="Attribution18" ref="B34:H42" totalsRowShown="0" headerRowDxfId="136" dataDxfId="134" headerRowBorderDxfId="135" tableBorderDxfId="133">
  <autoFilter ref="B34:H42"/>
  <tableColumns count="7">
    <tableColumn id="2" name="Outcome area" dataDxfId="132"/>
    <tableColumn id="9" name="Stakeholder group2" dataDxfId="131"/>
    <tableColumn id="3" name="VSO" dataDxfId="130" dataCellStyle="Percent"/>
    <tableColumn id="4" name="MEMBER GROUP" dataDxfId="129" dataCellStyle="Percent"/>
    <tableColumn id="5" name="CASH PARTNER" dataDxfId="128" dataCellStyle="Percent"/>
    <tableColumn id="6" name="OTHER" dataDxfId="127" dataCellStyle="Percent"/>
    <tableColumn id="8" name="CASH ATTRIBUTION" dataDxfId="126" dataCellStyle="Percent">
      <calculatedColumnFormula>(SUM(Attribution18[[#This Row],[VSO]:[CASH PARTNER]]))</calculatedColumnFormula>
    </tableColumn>
  </tableColumns>
  <tableStyleInfo name="TableStyleMedium2" showFirstColumn="0" showLastColumn="0" showRowStripes="1" showColumnStripes="0"/>
</table>
</file>

<file path=xl/tables/table4.xml><?xml version="1.0" encoding="utf-8"?>
<table xmlns="http://schemas.openxmlformats.org/spreadsheetml/2006/main" id="18" name="Table18" displayName="Table18" ref="B47:E55" totalsRowShown="0" tableBorderDxfId="125">
  <autoFilter ref="B47:E55"/>
  <tableColumns count="4">
    <tableColumn id="1" name="Outcome area"/>
    <tableColumn id="2" name="Stakeholder "/>
    <tableColumn id="3" name="Assumption"/>
    <tableColumn id="4" name="Total period" dataDxfId="124"/>
  </tableColumns>
  <tableStyleInfo name="TableStyleLight16" showFirstColumn="0" showLastColumn="0" showRowStripes="1" showColumnStripes="0"/>
</table>
</file>

<file path=xl/tables/table5.xml><?xml version="1.0" encoding="utf-8"?>
<table xmlns="http://schemas.openxmlformats.org/spreadsheetml/2006/main" id="19" name="Table19" displayName="Table19" ref="B66:E74" totalsRowShown="0">
  <autoFilter ref="B66:E74"/>
  <tableColumns count="4">
    <tableColumn id="1" name="Source"/>
    <tableColumn id="2" name="Phase 1" dataDxfId="123"/>
    <tableColumn id="3" name="Phase 2" dataDxfId="122" dataCellStyle="Comma"/>
    <tableColumn id="4" name="Total" dataDxfId="121">
      <calculatedColumnFormula>SUM(C67:D67)</calculatedColumnFormula>
    </tableColumn>
  </tableColumns>
  <tableStyleInfo name="TableStyleLight16" showFirstColumn="0" showLastColumn="0" showRowStripes="1" showColumnStripes="0"/>
</table>
</file>

<file path=xl/tables/table6.xml><?xml version="1.0" encoding="utf-8"?>
<table xmlns="http://schemas.openxmlformats.org/spreadsheetml/2006/main" id="20" name="Table20" displayName="Table20" ref="B60:C62" totalsRowShown="0" headerRowDxfId="120">
  <autoFilter ref="B60:C62"/>
  <tableColumns count="2">
    <tableColumn id="1" name="Source"/>
    <tableColumn id="2" name="Discount rate (%)" dataDxfId="119"/>
  </tableColumns>
  <tableStyleInfo name="TableStyleLight16" showFirstColumn="0" showLastColumn="0" showRowStripes="1" showColumnStripes="0"/>
</table>
</file>

<file path=xl/tables/table7.xml><?xml version="1.0" encoding="utf-8"?>
<table xmlns="http://schemas.openxmlformats.org/spreadsheetml/2006/main" id="1" name="FarmerOUTCOMES" displayName="FarmerOUTCOMES" ref="A4:BF67" totalsRowShown="0" headerRowDxfId="118" dataDxfId="117" tableBorderDxfId="116">
  <autoFilter ref="A4:BF67"/>
  <tableColumns count="58">
    <tableColumn id="1" name="No" dataDxfId="115"/>
    <tableColumn id="2" name="DI - Name" dataDxfId="114"/>
    <tableColumn id="3" name="DI - Age" dataDxfId="113"/>
    <tableColumn id="4" name="DI-Gender" dataDxfId="112"/>
    <tableColumn id="5" name="DI-Membership" dataDxfId="111"/>
    <tableColumn id="6" name="DI-New member" dataDxfId="110"/>
    <tableColumn id="7" name="DI-Disability" dataDxfId="109"/>
    <tableColumn id="8" name="DI-Group/Location" dataDxfId="108"/>
    <tableColumn id="9" name="DI-WEDTF member" dataDxfId="107"/>
    <tableColumn id="10" name="DI-Phase" dataDxfId="106"/>
    <tableColumn id="11" name="1- Current revenue from fruits and veg" dataDxfId="105" dataCellStyle="Comma"/>
    <tableColumn id="12" name="Current costs of production for fruits and veg" dataDxfId="104" dataCellStyle="Comma"/>
    <tableColumn id="13" name="Previous revenue from fruit and veg" dataDxfId="103"/>
    <tableColumn id="14" name="Previous cost of production for fruits andveg" dataDxfId="102"/>
    <tableColumn id="45" name="NET PROFIT LESS COUNTERFACTUAL" dataDxfId="101">
      <calculatedColumnFormula>(FarmerOUTCOMES[[#This Row],[1- Current revenue from fruits and veg]]-FarmerOUTCOMES[[#This Row],[Current costs of production for fruits and veg]])-(FarmerOUTCOMES[[#This Row],[Previous revenue from fruit and veg]]-FarmerOUTCOMES[[#This Row],[Previous cost of production for fruits andveg]])*(1-FarmerOUTCOMES[[#This Row],[1-CF factor]])</calculatedColumnFormula>
    </tableColumn>
    <tableColumn id="15" name="More time" dataDxfId="100"/>
    <tableColumn id="16" name="Any loss of income" dataDxfId="99"/>
    <tableColumn id="44" name="1-CF factor" dataDxfId="98">
      <calculatedColumnFormula>VLOOKUP(FarmerOUTCOMES[[#This Row],[DI-Group/Location]], CFfarmer1[],3,FALSE)</calculatedColumnFormula>
    </tableColumn>
    <tableColumn id="17" name="1- Counterfactual"/>
    <tableColumn id="18" name="Group rating of relations within group becoming stronger" dataDxfId="97"/>
    <tableColumn id="19" name="Value of benefit A" dataDxfId="96"/>
    <tableColumn id="20" name="Value of benefit B" dataDxfId="95"/>
    <tableColumn id="21" name="Value of benefit C" dataDxfId="94"/>
    <tableColumn id="47" name="2-Net TOTAL benefit" dataDxfId="93">
      <calculatedColumnFormula>SUM(FarmerOUTCOMES[[#This Row],[Value of benefit A]:[Value of benefit C]])*(1-FarmerOUTCOMES[[#This Row],[2-CF Factor]])</calculatedColumnFormula>
    </tableColumn>
    <tableColumn id="46" name="2-CF Factor" dataDxfId="92">
      <calculatedColumnFormula>VLOOKUP(FarmerOUTCOMES[[#This Row],[DI-Group/Location]],CFfarmer2[],3,FALSE)</calculatedColumnFormula>
    </tableColumn>
    <tableColumn id="22" name="2 - Counterfactual" dataDxfId="91"/>
    <tableColumn id="23" name="Savings amount" dataDxfId="90"/>
    <tableColumn id="24" name="Willingness to pay" dataDxfId="89"/>
    <tableColumn id="54" name="3-Net TOTAL benefit" dataDxfId="88"/>
    <tableColumn id="48" name="3-CF Factor" dataDxfId="87"/>
    <tableColumn id="25" name="3-Counterfactual" dataDxfId="86"/>
    <tableColumn id="26" name="Savings amount2" dataDxfId="85"/>
    <tableColumn id="27" name="Willingness to pay3" dataDxfId="84"/>
    <tableColumn id="55" name="4-Net TOTAL benefit" dataDxfId="83"/>
    <tableColumn id="50" name="4-CF Factor" dataDxfId="82"/>
    <tableColumn id="28" name="4-Counterfactual" dataDxfId="81"/>
    <tableColumn id="29" name="Typical loan value" dataDxfId="80"/>
    <tableColumn id="30" name=" (%) Informal economy" dataDxfId="79"/>
    <tableColumn id="31" name=" (%) Formal economy" dataDxfId="78"/>
    <tableColumn id="32" name=" (%)No loan" dataDxfId="77"/>
    <tableColumn id="56" name="5-Net TOTAL benefit" dataDxfId="76"/>
    <tableColumn id="51" name="5-CF Factor" dataDxfId="75"/>
    <tableColumn id="33" name="5-Counterfactual" dataDxfId="74"/>
    <tableColumn id="34" name="Willingness to pay4" dataDxfId="73"/>
    <tableColumn id="57" name="6-Net TOTAL benefit" dataDxfId="72"/>
    <tableColumn id="52" name="6-CF Factor" dataDxfId="71"/>
    <tableColumn id="35" name="6-Counterfactual" dataDxfId="70"/>
    <tableColumn id="36" name="Discretionary expenditure  " dataDxfId="69"/>
    <tableColumn id="37" name="Willingness to accept compensation" dataDxfId="68"/>
    <tableColumn id="49" name="Proportional willingness to accept compensation" dataDxfId="67">
      <calculatedColumnFormula>IF(FarmerOUTCOMES[[#This Row],[Discretionary expenditure  ]]&lt;&gt;0,FarmerOUTCOMES[[#This Row],[Willingness to accept compensation]]/FarmerOUTCOMES[[#This Row],[Discretionary expenditure  ]],0)</calculatedColumnFormula>
    </tableColumn>
    <tableColumn id="58" name="7-Net TOTAL benefit" dataDxfId="66"/>
    <tableColumn id="53" name="7-CF Factor" dataDxfId="65"/>
    <tableColumn id="38" name="7-Counterfactual" dataDxfId="64"/>
    <tableColumn id="39" name="Pre-CASH value of support" dataDxfId="63"/>
    <tableColumn id="40" name="(months)  Pre-CASH length of support" dataDxfId="62"/>
    <tableColumn id="41" name="Post-CASH value of support" dataDxfId="61"/>
    <tableColumn id="42" name=" (months)Post-CASH length of support" dataDxfId="60"/>
    <tableColumn id="43" name="8-Counterfactual" dataDxfId="59"/>
  </tableColumns>
  <tableStyleInfo name="TableStyleMedium2" showFirstColumn="0" showLastColumn="0" showRowStripes="1" showColumnStripes="0"/>
</table>
</file>

<file path=xl/tables/table8.xml><?xml version="1.0" encoding="utf-8"?>
<table xmlns="http://schemas.openxmlformats.org/spreadsheetml/2006/main" id="11" name="Table11" displayName="Table11" ref="D2:G49" totalsRowShown="0" headerRowDxfId="58" dataDxfId="56" headerRowBorderDxfId="57" tableBorderDxfId="55" totalsRowBorderDxfId="54">
  <autoFilter ref="D2:G49"/>
  <tableColumns count="4">
    <tableColumn id="1" name="DI-Gender" dataDxfId="53"/>
    <tableColumn id="2" name="DI-Membership" dataDxfId="52"/>
    <tableColumn id="3" name="DI-Group/Location" dataDxfId="51"/>
    <tableColumn id="4" name="Value of benefit A" dataDxfId="50"/>
  </tableColumns>
  <tableStyleInfo name="TableStyleLight9" showFirstColumn="0" showLastColumn="0" showRowStripes="1" showColumnStripes="0"/>
</table>
</file>

<file path=xl/tables/table9.xml><?xml version="1.0" encoding="utf-8"?>
<table xmlns="http://schemas.openxmlformats.org/spreadsheetml/2006/main" id="8" name="CFfarmer1" displayName="CFfarmer1" ref="B10:E17" totalsRowShown="0">
  <autoFilter ref="B10:E17"/>
  <tableColumns count="4">
    <tableColumn id="1" name="DI-Group/Location" dataDxfId="49"/>
    <tableColumn id="2" name="1- Counterfactual" dataDxfId="48"/>
    <tableColumn id="3" name="1-CF Factor" dataDxfId="47">
      <calculatedColumnFormula>LEFT(CFfarmer1[[#This Row],[1- Counterfactual]],20)</calculatedColumnFormula>
    </tableColumn>
    <tableColumn id="4" name="Notes" dataDxfId="4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2.vml"/><Relationship Id="rId1" Type="http://schemas.openxmlformats.org/officeDocument/2006/relationships/printerSettings" Target="../printerSettings/printerSettings1.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 Id="rId9"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table" Target="../tables/table8.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8" Type="http://schemas.openxmlformats.org/officeDocument/2006/relationships/table" Target="../tables/table14.xml"/><Relationship Id="rId3" Type="http://schemas.openxmlformats.org/officeDocument/2006/relationships/table" Target="../tables/table9.xml"/><Relationship Id="rId7" Type="http://schemas.openxmlformats.org/officeDocument/2006/relationships/table" Target="../tables/table13.xml"/><Relationship Id="rId2" Type="http://schemas.openxmlformats.org/officeDocument/2006/relationships/vmlDrawing" Target="../drawings/vmlDrawing5.vml"/><Relationship Id="rId1" Type="http://schemas.openxmlformats.org/officeDocument/2006/relationships/printerSettings" Target="../printerSettings/printerSettings3.bin"/><Relationship Id="rId6" Type="http://schemas.openxmlformats.org/officeDocument/2006/relationships/table" Target="../tables/table12.xml"/><Relationship Id="rId5" Type="http://schemas.openxmlformats.org/officeDocument/2006/relationships/table" Target="../tables/table11.xml"/><Relationship Id="rId10" Type="http://schemas.openxmlformats.org/officeDocument/2006/relationships/comments" Target="../comments5.xml"/><Relationship Id="rId4" Type="http://schemas.openxmlformats.org/officeDocument/2006/relationships/table" Target="../tables/table10.xml"/><Relationship Id="rId9" Type="http://schemas.openxmlformats.org/officeDocument/2006/relationships/table" Target="../tables/table1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B1:M40"/>
  <sheetViews>
    <sheetView tabSelected="1" zoomScaleNormal="100" workbookViewId="0">
      <selection activeCell="D40" sqref="D40"/>
    </sheetView>
  </sheetViews>
  <sheetFormatPr defaultRowHeight="14.4" x14ac:dyDescent="0.3"/>
  <cols>
    <col min="1" max="1" width="3.6640625" customWidth="1"/>
    <col min="2" max="2" width="24" bestFit="1" customWidth="1"/>
    <col min="3" max="3" width="19" bestFit="1" customWidth="1"/>
    <col min="4" max="4" width="10.6640625" bestFit="1" customWidth="1"/>
    <col min="5" max="5" width="11.6640625" bestFit="1" customWidth="1"/>
    <col min="6" max="6" width="10.88671875" bestFit="1" customWidth="1"/>
    <col min="7" max="7" width="19.5546875" bestFit="1" customWidth="1"/>
    <col min="8" max="11" width="12.5546875" bestFit="1" customWidth="1"/>
    <col min="12" max="12" width="13.44140625" customWidth="1"/>
    <col min="13" max="13" width="12.6640625" bestFit="1" customWidth="1"/>
  </cols>
  <sheetData>
    <row r="1" spans="2:13" s="117" customFormat="1" x14ac:dyDescent="0.3">
      <c r="B1" s="358" t="s">
        <v>463</v>
      </c>
    </row>
    <row r="2" spans="2:13" s="117" customFormat="1" x14ac:dyDescent="0.3"/>
    <row r="3" spans="2:13" s="117" customFormat="1" ht="15" thickBot="1" x14ac:dyDescent="0.35">
      <c r="B3" s="11"/>
      <c r="C3" s="23"/>
      <c r="E3" s="387"/>
    </row>
    <row r="4" spans="2:13" ht="15" thickBot="1" x14ac:dyDescent="0.35">
      <c r="H4" s="393" t="s">
        <v>459</v>
      </c>
      <c r="I4" s="394"/>
      <c r="J4" s="394"/>
      <c r="K4" s="394"/>
      <c r="L4" s="393" t="s">
        <v>441</v>
      </c>
      <c r="M4" s="395"/>
    </row>
    <row r="5" spans="2:13" ht="29.4" thickBot="1" x14ac:dyDescent="0.35">
      <c r="B5" s="306" t="s">
        <v>440</v>
      </c>
      <c r="C5" s="307" t="s">
        <v>34</v>
      </c>
      <c r="D5" s="307" t="s">
        <v>53</v>
      </c>
      <c r="E5" s="307" t="s">
        <v>386</v>
      </c>
      <c r="F5" s="308" t="s">
        <v>283</v>
      </c>
      <c r="G5" s="309" t="s">
        <v>387</v>
      </c>
      <c r="H5" s="310">
        <v>2013</v>
      </c>
      <c r="I5" s="311">
        <v>2014</v>
      </c>
      <c r="J5" s="311">
        <v>2015</v>
      </c>
      <c r="K5" s="311">
        <v>2016</v>
      </c>
      <c r="L5" s="390" t="s">
        <v>432</v>
      </c>
      <c r="M5" s="312" t="s">
        <v>465</v>
      </c>
    </row>
    <row r="6" spans="2:13" ht="15" thickBot="1" x14ac:dyDescent="0.35">
      <c r="B6" s="320" t="s">
        <v>389</v>
      </c>
      <c r="C6" s="321" t="s">
        <v>388</v>
      </c>
      <c r="D6" s="321">
        <f>'Data &amp; assumptions'!C17</f>
        <v>427</v>
      </c>
      <c r="E6" s="322">
        <f>'Data &amp; assumptions'!I4</f>
        <v>1708118.4210526315</v>
      </c>
      <c r="F6" s="323">
        <f>'Data &amp; assumptions'!H35</f>
        <v>0.85833333333333328</v>
      </c>
      <c r="G6" s="346">
        <f>D6*E6*F6</f>
        <v>626039635.63596487</v>
      </c>
      <c r="H6" s="348">
        <f>G6</f>
        <v>626039635.63596487</v>
      </c>
      <c r="I6" s="349">
        <f t="shared" ref="I6:I13" si="0">G6</f>
        <v>626039635.63596487</v>
      </c>
      <c r="J6" s="378">
        <f t="shared" ref="J6:J25" si="1">G6</f>
        <v>626039635.63596487</v>
      </c>
      <c r="K6" s="350"/>
      <c r="L6" s="362">
        <f>NPV('Data &amp; assumptions'!C61,H6:K6)</f>
        <v>1673411426.8915427</v>
      </c>
      <c r="M6" s="363">
        <f>NPV('Data &amp; assumptions'!C62,MODEL!H6:K6)</f>
        <v>1556867914.3163362</v>
      </c>
    </row>
    <row r="7" spans="2:13" ht="15" thickBot="1" x14ac:dyDescent="0.35">
      <c r="B7" s="324" t="s">
        <v>389</v>
      </c>
      <c r="C7" s="325" t="s">
        <v>390</v>
      </c>
      <c r="D7" s="325">
        <f>'Data &amp; assumptions'!C18</f>
        <v>84</v>
      </c>
      <c r="E7" s="326">
        <f>'Data &amp; assumptions'!I5</f>
        <v>651000</v>
      </c>
      <c r="F7" s="327">
        <f>'Data &amp; assumptions'!H35</f>
        <v>0.85833333333333328</v>
      </c>
      <c r="G7" s="346">
        <f t="shared" ref="G7:G25" si="2">D7*E7*F7</f>
        <v>46937100</v>
      </c>
      <c r="H7" s="351">
        <f>G7</f>
        <v>46937100</v>
      </c>
      <c r="I7" s="352">
        <f t="shared" si="0"/>
        <v>46937100</v>
      </c>
      <c r="J7" s="379">
        <f t="shared" si="1"/>
        <v>46937100</v>
      </c>
      <c r="K7" s="350"/>
      <c r="L7" s="364">
        <f>NPV('Data &amp; assumptions'!C61,H7:K7)</f>
        <v>125463429.17307575</v>
      </c>
      <c r="M7" s="363">
        <f>NPV('Data &amp; assumptions'!C62,MODEL!H7:K7)</f>
        <v>116725620.58602554</v>
      </c>
    </row>
    <row r="8" spans="2:13" ht="15" thickBot="1" x14ac:dyDescent="0.35">
      <c r="B8" s="324" t="s">
        <v>391</v>
      </c>
      <c r="C8" s="325" t="str">
        <f>C6</f>
        <v>Uwamwima farmers</v>
      </c>
      <c r="D8" s="325">
        <f>'Data &amp; assumptions'!C19</f>
        <v>222</v>
      </c>
      <c r="E8" s="326">
        <f>'Data &amp; assumptions'!I4</f>
        <v>1708118.4210526315</v>
      </c>
      <c r="F8" s="327">
        <f>'Data &amp; assumptions'!H35</f>
        <v>0.85833333333333328</v>
      </c>
      <c r="G8" s="346">
        <f t="shared" si="2"/>
        <v>325481965.13157892</v>
      </c>
      <c r="H8" s="350"/>
      <c r="I8" s="352">
        <f t="shared" si="0"/>
        <v>325481965.13157892</v>
      </c>
      <c r="J8" s="379">
        <f t="shared" si="1"/>
        <v>325481965.13157892</v>
      </c>
      <c r="K8" s="379">
        <f>G8</f>
        <v>325481965.13157892</v>
      </c>
      <c r="L8" s="364">
        <f>NPV('Data &amp; assumptions'!C61,H8:K8)</f>
        <v>870017182.13096607</v>
      </c>
      <c r="M8" s="365">
        <f>NPV('Data &amp; assumptions'!C62,MODEL!H8:K8)</f>
        <v>809425473.01692426</v>
      </c>
    </row>
    <row r="9" spans="2:13" ht="15" thickBot="1" x14ac:dyDescent="0.35">
      <c r="B9" s="328" t="s">
        <v>391</v>
      </c>
      <c r="C9" s="329" t="str">
        <f>C7</f>
        <v>UWZ farmers</v>
      </c>
      <c r="D9" s="329">
        <f>'Data &amp; assumptions'!C20</f>
        <v>110</v>
      </c>
      <c r="E9" s="330">
        <f>'Data &amp; assumptions'!I5</f>
        <v>651000</v>
      </c>
      <c r="F9" s="331">
        <f>'Data &amp; assumptions'!H35</f>
        <v>0.85833333333333328</v>
      </c>
      <c r="G9" s="346">
        <f t="shared" si="2"/>
        <v>61465250</v>
      </c>
      <c r="H9" s="350"/>
      <c r="I9" s="353">
        <f t="shared" si="0"/>
        <v>61465250</v>
      </c>
      <c r="J9" s="380">
        <f t="shared" si="1"/>
        <v>61465250</v>
      </c>
      <c r="K9" s="380">
        <f>G9</f>
        <v>61465250</v>
      </c>
      <c r="L9" s="366">
        <f>NPV('Data &amp; assumptions'!C61,H9:K9)</f>
        <v>164297347.72664681</v>
      </c>
      <c r="M9" s="367">
        <f>NPV('Data &amp; assumptions'!C62,MODEL!H9:K9)</f>
        <v>152854979.33884293</v>
      </c>
    </row>
    <row r="10" spans="2:13" ht="29.4" thickBot="1" x14ac:dyDescent="0.35">
      <c r="B10" s="317" t="s">
        <v>393</v>
      </c>
      <c r="C10" s="313" t="s">
        <v>392</v>
      </c>
      <c r="D10" s="313">
        <f>D6+D7</f>
        <v>511</v>
      </c>
      <c r="E10" s="314">
        <f>'Data &amp; assumptions'!I6</f>
        <v>627047.61904761905</v>
      </c>
      <c r="F10" s="315">
        <f>'Data &amp; assumptions'!H36</f>
        <v>0.85000000000000009</v>
      </c>
      <c r="G10" s="347">
        <f t="shared" si="2"/>
        <v>272358133.33333337</v>
      </c>
      <c r="H10" s="354">
        <f>G10</f>
        <v>272358133.33333337</v>
      </c>
      <c r="I10" s="355">
        <f t="shared" si="0"/>
        <v>272358133.33333337</v>
      </c>
      <c r="J10" s="381">
        <f t="shared" si="1"/>
        <v>272358133.33333337</v>
      </c>
      <c r="K10" s="385"/>
      <c r="L10" s="368">
        <f>NPV('Data &amp; assumptions'!C61,H10:K10)</f>
        <v>728016544.93306553</v>
      </c>
      <c r="M10" s="369">
        <f>NPV('Data &amp; assumptions'!C62,MODEL!H10:K10)</f>
        <v>677314366.14074636</v>
      </c>
    </row>
    <row r="11" spans="2:13" ht="29.4" thickBot="1" x14ac:dyDescent="0.35">
      <c r="B11" s="318" t="s">
        <v>394</v>
      </c>
      <c r="C11" s="301" t="s">
        <v>392</v>
      </c>
      <c r="D11" s="301">
        <f>D8+D9</f>
        <v>332</v>
      </c>
      <c r="E11" s="305">
        <f>'Data &amp; assumptions'!I6</f>
        <v>627047.61904761905</v>
      </c>
      <c r="F11" s="316">
        <f>'Data &amp; assumptions'!H36</f>
        <v>0.85000000000000009</v>
      </c>
      <c r="G11" s="347">
        <f t="shared" si="2"/>
        <v>176952838.09523812</v>
      </c>
      <c r="H11" s="356"/>
      <c r="I11" s="357">
        <f t="shared" si="0"/>
        <v>176952838.09523812</v>
      </c>
      <c r="J11" s="382">
        <f t="shared" si="1"/>
        <v>176952838.09523812</v>
      </c>
      <c r="K11" s="382">
        <f>G11</f>
        <v>176952838.09523812</v>
      </c>
      <c r="L11" s="370">
        <f>NPV('Data &amp; assumptions'!C61,H11:K11)</f>
        <v>472997050.71972162</v>
      </c>
      <c r="M11" s="371">
        <f>NPV('Data &amp; assumptions'!C62,MODEL!H11:K11)</f>
        <v>440055517.72745162</v>
      </c>
    </row>
    <row r="12" spans="2:13" ht="29.4" thickBot="1" x14ac:dyDescent="0.35">
      <c r="B12" s="332" t="s">
        <v>395</v>
      </c>
      <c r="C12" s="321" t="s">
        <v>392</v>
      </c>
      <c r="D12" s="321">
        <f>D10</f>
        <v>511</v>
      </c>
      <c r="E12" s="322">
        <f>'Data &amp; assumptions'!I7</f>
        <v>282666.66666666663</v>
      </c>
      <c r="F12" s="323">
        <f>'Data &amp; assumptions'!H37</f>
        <v>0.9916666666666667</v>
      </c>
      <c r="G12" s="346">
        <f t="shared" si="2"/>
        <v>143238977.77777776</v>
      </c>
      <c r="H12" s="348">
        <f>G12</f>
        <v>143238977.77777776</v>
      </c>
      <c r="I12" s="349">
        <f t="shared" si="0"/>
        <v>143238977.77777776</v>
      </c>
      <c r="J12" s="378">
        <f t="shared" si="1"/>
        <v>143238977.77777776</v>
      </c>
      <c r="K12" s="386"/>
      <c r="L12" s="362">
        <f>NPV('Data &amp; assumptions'!C61,H12:K12)</f>
        <v>382879499.22866964</v>
      </c>
      <c r="M12" s="363">
        <f>NPV('Data &amp; assumptions'!C62,MODEL!H12:K12)</f>
        <v>356214137.07321131</v>
      </c>
    </row>
    <row r="13" spans="2:13" ht="29.4" thickBot="1" x14ac:dyDescent="0.35">
      <c r="B13" s="333" t="s">
        <v>397</v>
      </c>
      <c r="C13" s="329" t="s">
        <v>392</v>
      </c>
      <c r="D13" s="329">
        <f>D11</f>
        <v>332</v>
      </c>
      <c r="E13" s="330">
        <f>'Data &amp; assumptions'!I7</f>
        <v>282666.66666666663</v>
      </c>
      <c r="F13" s="331">
        <f>'Data &amp; assumptions'!H37</f>
        <v>0.9916666666666667</v>
      </c>
      <c r="G13" s="346">
        <f t="shared" si="2"/>
        <v>93063288.888888866</v>
      </c>
      <c r="H13" s="350"/>
      <c r="I13" s="353">
        <f t="shared" si="0"/>
        <v>93063288.888888866</v>
      </c>
      <c r="J13" s="380">
        <f t="shared" si="1"/>
        <v>93063288.888888866</v>
      </c>
      <c r="K13" s="380">
        <f>G13</f>
        <v>93063288.888888866</v>
      </c>
      <c r="L13" s="366">
        <f>NPV('Data &amp; assumptions'!C61,H13:K13)</f>
        <v>248759283.25620022</v>
      </c>
      <c r="M13" s="367">
        <f>NPV('Data &amp; assumptions'!C62,MODEL!H13:K13)</f>
        <v>231434625.26087311</v>
      </c>
    </row>
    <row r="14" spans="2:13" ht="29.4" thickBot="1" x14ac:dyDescent="0.35">
      <c r="B14" s="317" t="s">
        <v>396</v>
      </c>
      <c r="C14" s="313" t="s">
        <v>392</v>
      </c>
      <c r="D14" s="313">
        <f>D10</f>
        <v>511</v>
      </c>
      <c r="E14" s="314">
        <f>'Data &amp; assumptions'!I8</f>
        <v>69428.57142857142</v>
      </c>
      <c r="F14" s="315">
        <f>'Data &amp; assumptions'!H38</f>
        <v>0.9916666666666667</v>
      </c>
      <c r="G14" s="347">
        <f t="shared" si="2"/>
        <v>35182349.999999993</v>
      </c>
      <c r="H14" s="354">
        <f>G14</f>
        <v>35182349.999999993</v>
      </c>
      <c r="I14" s="355">
        <f>H14</f>
        <v>35182349.999999993</v>
      </c>
      <c r="J14" s="381">
        <f t="shared" si="1"/>
        <v>35182349.999999993</v>
      </c>
      <c r="K14" s="385"/>
      <c r="L14" s="368">
        <f>NPV('Data &amp; assumptions'!C61,H14:K14)</f>
        <v>94042841.960141569</v>
      </c>
      <c r="M14" s="369">
        <f>NPV('Data &amp; assumptions'!C62,MODEL!H14:K14)</f>
        <v>87493297.145003721</v>
      </c>
    </row>
    <row r="15" spans="2:13" ht="29.4" thickBot="1" x14ac:dyDescent="0.35">
      <c r="B15" s="318" t="s">
        <v>398</v>
      </c>
      <c r="C15" s="301" t="s">
        <v>392</v>
      </c>
      <c r="D15" s="301">
        <f>D11</f>
        <v>332</v>
      </c>
      <c r="E15" s="305">
        <f>'Data &amp; assumptions'!I8</f>
        <v>69428.57142857142</v>
      </c>
      <c r="F15" s="316">
        <f>'Data &amp; assumptions'!H38</f>
        <v>0.9916666666666667</v>
      </c>
      <c r="G15" s="347">
        <f t="shared" si="2"/>
        <v>22858200</v>
      </c>
      <c r="H15" s="356"/>
      <c r="I15" s="357">
        <f t="shared" ref="I15:I25" si="3">G15</f>
        <v>22858200</v>
      </c>
      <c r="J15" s="382">
        <f t="shared" si="1"/>
        <v>22858200</v>
      </c>
      <c r="K15" s="382">
        <f>G15</f>
        <v>22858200</v>
      </c>
      <c r="L15" s="370">
        <f>NPV('Data &amp; assumptions'!C61,H15:K15)</f>
        <v>61100241.743183963</v>
      </c>
      <c r="M15" s="371">
        <f>NPV('Data &amp; assumptions'!C62,MODEL!H15:K15)</f>
        <v>56844960.180315539</v>
      </c>
    </row>
    <row r="16" spans="2:13" ht="29.4" thickBot="1" x14ac:dyDescent="0.35">
      <c r="B16" s="332" t="s">
        <v>400</v>
      </c>
      <c r="C16" s="321" t="s">
        <v>399</v>
      </c>
      <c r="D16" s="321">
        <f>'Data &amp; assumptions'!C21</f>
        <v>376</v>
      </c>
      <c r="E16" s="322">
        <f>'Data &amp; assumptions'!I9</f>
        <v>1767692.3076923077</v>
      </c>
      <c r="F16" s="323">
        <f>'Data &amp; assumptions'!H39</f>
        <v>0.98333333333333339</v>
      </c>
      <c r="G16" s="346">
        <f t="shared" si="2"/>
        <v>653574769.23076928</v>
      </c>
      <c r="H16" s="348">
        <f>G16</f>
        <v>653574769.23076928</v>
      </c>
      <c r="I16" s="349">
        <f t="shared" si="3"/>
        <v>653574769.23076928</v>
      </c>
      <c r="J16" s="378">
        <f t="shared" si="1"/>
        <v>653574769.23076928</v>
      </c>
      <c r="K16" s="386"/>
      <c r="L16" s="362">
        <f>NPV('Data &amp; assumptions'!C61,H16:K16)</f>
        <v>1747013168.0204773</v>
      </c>
      <c r="M16" s="363">
        <f>NPV('Data &amp; assumptions'!C62,MODEL!H16:K16)</f>
        <v>1625343716.118592</v>
      </c>
    </row>
    <row r="17" spans="2:13" ht="29.4" thickBot="1" x14ac:dyDescent="0.35">
      <c r="B17" s="333" t="s">
        <v>401</v>
      </c>
      <c r="C17" s="329" t="s">
        <v>399</v>
      </c>
      <c r="D17" s="329">
        <f>'Data &amp; assumptions'!C22</f>
        <v>186</v>
      </c>
      <c r="E17" s="330">
        <f>'Data &amp; assumptions'!I9</f>
        <v>1767692.3076923077</v>
      </c>
      <c r="F17" s="331">
        <f>'Data &amp; assumptions'!H39</f>
        <v>0.98333333333333339</v>
      </c>
      <c r="G17" s="346">
        <f t="shared" si="2"/>
        <v>323310923.07692307</v>
      </c>
      <c r="H17" s="350"/>
      <c r="I17" s="353">
        <f t="shared" si="3"/>
        <v>323310923.07692307</v>
      </c>
      <c r="J17" s="380">
        <f t="shared" si="1"/>
        <v>323310923.07692307</v>
      </c>
      <c r="K17" s="380">
        <f>G17</f>
        <v>323310923.07692307</v>
      </c>
      <c r="L17" s="366">
        <f>NPV('Data &amp; assumptions'!C61,H17:K17)</f>
        <v>864213960.77608716</v>
      </c>
      <c r="M17" s="367">
        <f>NPV('Data &amp; assumptions'!C62,MODEL!H17:K17)</f>
        <v>804026412.76079285</v>
      </c>
    </row>
    <row r="18" spans="2:13" ht="29.4" thickBot="1" x14ac:dyDescent="0.35">
      <c r="B18" s="317" t="s">
        <v>389</v>
      </c>
      <c r="C18" s="319" t="s">
        <v>402</v>
      </c>
      <c r="D18" s="313">
        <f>'Data &amp; assumptions'!C23</f>
        <v>19</v>
      </c>
      <c r="E18" s="314">
        <f>'Data &amp; assumptions'!I10</f>
        <v>1708118.4210526315</v>
      </c>
      <c r="F18" s="315">
        <f>'Data &amp; assumptions'!H42</f>
        <v>1</v>
      </c>
      <c r="G18" s="347">
        <f t="shared" si="2"/>
        <v>32454249.999999996</v>
      </c>
      <c r="H18" s="354">
        <f>G18</f>
        <v>32454249.999999996</v>
      </c>
      <c r="I18" s="355">
        <f t="shared" si="3"/>
        <v>32454249.999999996</v>
      </c>
      <c r="J18" s="381">
        <f t="shared" si="1"/>
        <v>32454249.999999996</v>
      </c>
      <c r="K18" s="385"/>
      <c r="L18" s="368">
        <f>NPV('Data &amp; assumptions'!C61,H18:K18)</f>
        <v>86750598.06081529</v>
      </c>
      <c r="M18" s="369">
        <f>NPV('Data &amp; assumptions'!C62,MODEL!H18:K18)</f>
        <v>80708916.228399679</v>
      </c>
    </row>
    <row r="19" spans="2:13" ht="29.4" thickBot="1" x14ac:dyDescent="0.35">
      <c r="B19" s="303" t="s">
        <v>389</v>
      </c>
      <c r="C19" s="300" t="s">
        <v>403</v>
      </c>
      <c r="D19" s="12">
        <f>'Data &amp; assumptions'!C24</f>
        <v>4</v>
      </c>
      <c r="E19" s="28">
        <f>'Data &amp; assumptions'!I11</f>
        <v>651000</v>
      </c>
      <c r="F19" s="302">
        <f>'Data &amp; assumptions'!H42</f>
        <v>1</v>
      </c>
      <c r="G19" s="347">
        <f t="shared" si="2"/>
        <v>2604000</v>
      </c>
      <c r="H19" s="356"/>
      <c r="I19" s="359">
        <f t="shared" si="3"/>
        <v>2604000</v>
      </c>
      <c r="J19" s="383">
        <f t="shared" si="1"/>
        <v>2604000</v>
      </c>
      <c r="K19" s="383">
        <f>G19</f>
        <v>2604000</v>
      </c>
      <c r="L19" s="372">
        <f>NPV('Data &amp; assumptions'!C61,H19:K19)</f>
        <v>6960523.1163980998</v>
      </c>
      <c r="M19" s="373">
        <f>NPV('Data &amp; assumptions'!C62,MODEL!H19:K19)</f>
        <v>6475762.5845229141</v>
      </c>
    </row>
    <row r="20" spans="2:13" ht="29.4" thickBot="1" x14ac:dyDescent="0.35">
      <c r="B20" s="303" t="s">
        <v>391</v>
      </c>
      <c r="C20" s="300" t="s">
        <v>402</v>
      </c>
      <c r="D20" s="12">
        <f>'Data &amp; assumptions'!C25</f>
        <v>15</v>
      </c>
      <c r="E20" s="28">
        <f>'Data &amp; assumptions'!I10</f>
        <v>1708118.4210526315</v>
      </c>
      <c r="F20" s="302">
        <f>'Data &amp; assumptions'!H42</f>
        <v>1</v>
      </c>
      <c r="G20" s="347">
        <f t="shared" si="2"/>
        <v>25621776.315789472</v>
      </c>
      <c r="H20" s="360">
        <f>G20</f>
        <v>25621776.315789472</v>
      </c>
      <c r="I20" s="359">
        <f t="shared" si="3"/>
        <v>25621776.315789472</v>
      </c>
      <c r="J20" s="383">
        <f t="shared" si="1"/>
        <v>25621776.315789472</v>
      </c>
      <c r="K20" s="385"/>
      <c r="L20" s="372">
        <f>NPV('Data &amp; assumptions'!C61,H20:K20)</f>
        <v>68487314.25853838</v>
      </c>
      <c r="M20" s="373">
        <f>NPV('Data &amp; assumptions'!C62,MODEL!H20:K20)</f>
        <v>63717565.443473436</v>
      </c>
    </row>
    <row r="21" spans="2:13" ht="29.4" thickBot="1" x14ac:dyDescent="0.35">
      <c r="B21" s="318" t="s">
        <v>391</v>
      </c>
      <c r="C21" s="304" t="s">
        <v>403</v>
      </c>
      <c r="D21" s="301">
        <f>'Data &amp; assumptions'!C26</f>
        <v>4</v>
      </c>
      <c r="E21" s="305">
        <f>'Data &amp; assumptions'!I11</f>
        <v>651000</v>
      </c>
      <c r="F21" s="316">
        <f>'Data &amp; assumptions'!H42</f>
        <v>1</v>
      </c>
      <c r="G21" s="347">
        <f t="shared" si="2"/>
        <v>2604000</v>
      </c>
      <c r="H21" s="356"/>
      <c r="I21" s="357">
        <f t="shared" si="3"/>
        <v>2604000</v>
      </c>
      <c r="J21" s="382">
        <f t="shared" si="1"/>
        <v>2604000</v>
      </c>
      <c r="K21" s="382">
        <f>G21</f>
        <v>2604000</v>
      </c>
      <c r="L21" s="370">
        <f>NPV('Data &amp; assumptions'!C61,H21:K21)</f>
        <v>6960523.1163980998</v>
      </c>
      <c r="M21" s="371">
        <f>NPV('Data &amp; assumptions'!C62,MODEL!H21:K21)</f>
        <v>6475762.5845229141</v>
      </c>
    </row>
    <row r="22" spans="2:13" ht="15" thickBot="1" x14ac:dyDescent="0.35">
      <c r="B22" s="335" t="s">
        <v>389</v>
      </c>
      <c r="C22" s="334" t="s">
        <v>422</v>
      </c>
      <c r="D22" s="321">
        <f>'Data &amp; assumptions'!C27</f>
        <v>6</v>
      </c>
      <c r="E22" s="322">
        <f>'Data &amp; assumptions'!I12</f>
        <v>3600</v>
      </c>
      <c r="F22" s="323">
        <f>'Data &amp; assumptions'!H40</f>
        <v>1</v>
      </c>
      <c r="G22" s="346">
        <f t="shared" si="2"/>
        <v>21600</v>
      </c>
      <c r="H22" s="348">
        <f>G22</f>
        <v>21600</v>
      </c>
      <c r="I22" s="349">
        <f t="shared" si="3"/>
        <v>21600</v>
      </c>
      <c r="J22" s="378">
        <f t="shared" si="1"/>
        <v>21600</v>
      </c>
      <c r="K22" s="386"/>
      <c r="L22" s="362">
        <f>NPV('Data &amp; assumptions'!C61,H22:K22)</f>
        <v>57737.05810837134</v>
      </c>
      <c r="M22" s="363">
        <f>NPV('Data &amp; assumptions'!C62,MODEL!H22:K22)</f>
        <v>53716.00300525919</v>
      </c>
    </row>
    <row r="23" spans="2:13" ht="15" thickBot="1" x14ac:dyDescent="0.35">
      <c r="B23" s="336" t="s">
        <v>391</v>
      </c>
      <c r="C23" s="337" t="s">
        <v>422</v>
      </c>
      <c r="D23" s="338">
        <f>'Data &amp; assumptions'!C28</f>
        <v>7</v>
      </c>
      <c r="E23" s="339">
        <f>'Data &amp; assumptions'!I12</f>
        <v>3600</v>
      </c>
      <c r="F23" s="342">
        <f>'Data &amp; assumptions'!H40</f>
        <v>1</v>
      </c>
      <c r="G23" s="346">
        <f t="shared" si="2"/>
        <v>25200</v>
      </c>
      <c r="H23" s="350"/>
      <c r="I23" s="361">
        <f t="shared" si="3"/>
        <v>25200</v>
      </c>
      <c r="J23" s="384">
        <f t="shared" si="1"/>
        <v>25200</v>
      </c>
      <c r="K23" s="384">
        <f>G23</f>
        <v>25200</v>
      </c>
      <c r="L23" s="374">
        <f>NPV('Data &amp; assumptions'!C61,H23:K23)</f>
        <v>67359.901126433222</v>
      </c>
      <c r="M23" s="375">
        <f>NPV('Data &amp; assumptions'!C62,MODEL!H23:K23)</f>
        <v>62668.670172802398</v>
      </c>
    </row>
    <row r="24" spans="2:13" ht="15" thickBot="1" x14ac:dyDescent="0.35">
      <c r="B24" s="317" t="s">
        <v>389</v>
      </c>
      <c r="C24" s="340" t="s">
        <v>423</v>
      </c>
      <c r="D24" s="313">
        <f>'Data &amp; assumptions'!C29</f>
        <v>23</v>
      </c>
      <c r="E24" s="314">
        <f>'Data &amp; assumptions'!I12</f>
        <v>3600</v>
      </c>
      <c r="F24" s="343">
        <f>'Data &amp; assumptions'!H41</f>
        <v>1</v>
      </c>
      <c r="G24" s="347">
        <f t="shared" si="2"/>
        <v>82800</v>
      </c>
      <c r="H24" s="355">
        <f>G24</f>
        <v>82800</v>
      </c>
      <c r="I24" s="355">
        <f t="shared" si="3"/>
        <v>82800</v>
      </c>
      <c r="J24" s="381">
        <f t="shared" si="1"/>
        <v>82800</v>
      </c>
      <c r="K24" s="385"/>
      <c r="L24" s="314">
        <f>NPV('Data &amp; assumptions'!C61,H24:K24)</f>
        <v>221325.38941542347</v>
      </c>
      <c r="M24" s="369">
        <f>NPV('Data &amp; assumptions'!C62,MODEL!H24:K24)</f>
        <v>205911.34485349359</v>
      </c>
    </row>
    <row r="25" spans="2:13" ht="15" thickBot="1" x14ac:dyDescent="0.35">
      <c r="B25" s="318" t="s">
        <v>391</v>
      </c>
      <c r="C25" s="341" t="s">
        <v>423</v>
      </c>
      <c r="D25" s="301">
        <f>'Data &amp; assumptions'!C30</f>
        <v>19</v>
      </c>
      <c r="E25" s="305">
        <f>'Data &amp; assumptions'!I12</f>
        <v>3600</v>
      </c>
      <c r="F25" s="344">
        <f>'Data &amp; assumptions'!H41</f>
        <v>1</v>
      </c>
      <c r="G25" s="347">
        <f t="shared" si="2"/>
        <v>68400</v>
      </c>
      <c r="H25" s="356"/>
      <c r="I25" s="357">
        <f t="shared" si="3"/>
        <v>68400</v>
      </c>
      <c r="J25" s="382">
        <f t="shared" si="1"/>
        <v>68400</v>
      </c>
      <c r="K25" s="382">
        <f>G25</f>
        <v>68400</v>
      </c>
      <c r="L25" s="305">
        <f>NPV('Data &amp; assumptions'!C61,H25:K25)</f>
        <v>182834.01734317589</v>
      </c>
      <c r="M25" s="371">
        <f>NPV('Data &amp; assumptions'!C62,MODEL!H25:K25)</f>
        <v>170100.67618332076</v>
      </c>
    </row>
    <row r="26" spans="2:13" ht="15" thickBot="1" x14ac:dyDescent="0.35"/>
    <row r="27" spans="2:13" s="117" customFormat="1" x14ac:dyDescent="0.3">
      <c r="B27" s="391" t="s">
        <v>468</v>
      </c>
      <c r="C27" s="346"/>
      <c r="D27" s="346"/>
      <c r="E27" s="346"/>
      <c r="F27" s="346"/>
      <c r="G27" s="346"/>
      <c r="H27" s="346">
        <f>'Data &amp; assumptions'!C74</f>
        <v>342603737</v>
      </c>
      <c r="I27" s="346">
        <f>'Data &amp; assumptions'!D74</f>
        <v>360508593</v>
      </c>
      <c r="J27" s="346"/>
      <c r="K27" s="346"/>
      <c r="L27" s="346">
        <f>NPV('Data &amp; assumptions'!C61,H27:K27)</f>
        <v>644062437.00605202</v>
      </c>
      <c r="M27" s="346">
        <f>NPV('Data &amp; assumptions'!C62,MODEL!H27:K27)</f>
        <v>609398928.67768586</v>
      </c>
    </row>
    <row r="29" spans="2:13" x14ac:dyDescent="0.3">
      <c r="B29" s="392" t="s">
        <v>460</v>
      </c>
      <c r="C29" s="392"/>
      <c r="D29" s="392"/>
      <c r="E29" s="392"/>
      <c r="F29" s="392"/>
      <c r="G29" s="119">
        <f>SUM(L6:L25)</f>
        <v>7601900191.4779205</v>
      </c>
    </row>
    <row r="30" spans="2:13" x14ac:dyDescent="0.3">
      <c r="B30" s="392" t="s">
        <v>461</v>
      </c>
      <c r="C30" s="392"/>
      <c r="D30" s="392"/>
      <c r="E30" s="392"/>
      <c r="F30" s="392"/>
      <c r="G30" s="119">
        <f>(SUM(L6:L9)+SUM(L18:L21)+SUM(L22:L23)+SUM(L24:L25))</f>
        <v>3002877600.8403745</v>
      </c>
    </row>
    <row r="31" spans="2:13" x14ac:dyDescent="0.3">
      <c r="B31" s="392" t="s">
        <v>453</v>
      </c>
      <c r="C31" s="392"/>
      <c r="D31" s="392"/>
      <c r="E31" s="392"/>
      <c r="F31" s="392"/>
    </row>
    <row r="32" spans="2:13" x14ac:dyDescent="0.3">
      <c r="B32" s="392" t="s">
        <v>462</v>
      </c>
      <c r="C32" s="392"/>
      <c r="D32" s="392"/>
      <c r="E32" s="392"/>
      <c r="F32" s="392"/>
      <c r="G32" s="119">
        <f>SUM(M6:M25)</f>
        <v>7072471423.2002497</v>
      </c>
    </row>
    <row r="33" spans="2:7" x14ac:dyDescent="0.3">
      <c r="B33" s="392" t="s">
        <v>462</v>
      </c>
      <c r="C33" s="392"/>
      <c r="D33" s="392"/>
      <c r="E33" s="392"/>
      <c r="F33" s="392"/>
      <c r="G33" s="119">
        <f>SUM(M6:M9)+SUM(M18:M21)+SUM(M22:M23)+SUM(M24:M25)</f>
        <v>2793744390.7932625</v>
      </c>
    </row>
    <row r="36" spans="2:7" x14ac:dyDescent="0.3">
      <c r="B36" t="s">
        <v>466</v>
      </c>
      <c r="G36" s="376">
        <f>G29/L27</f>
        <v>11.803048516251986</v>
      </c>
    </row>
    <row r="37" spans="2:7" x14ac:dyDescent="0.3">
      <c r="B37" t="s">
        <v>470</v>
      </c>
      <c r="G37" s="376">
        <f>G30/L27</f>
        <v>4.6624013889078233</v>
      </c>
    </row>
    <row r="39" spans="2:7" x14ac:dyDescent="0.3">
      <c r="B39" s="117" t="s">
        <v>467</v>
      </c>
      <c r="C39" s="117"/>
      <c r="D39" s="117"/>
      <c r="E39" s="117"/>
      <c r="F39" s="117"/>
      <c r="G39" s="376">
        <f>G32/M27</f>
        <v>11.605651225128614</v>
      </c>
    </row>
    <row r="40" spans="2:7" x14ac:dyDescent="0.3">
      <c r="B40" s="117" t="s">
        <v>471</v>
      </c>
      <c r="C40" s="117"/>
      <c r="D40" s="117"/>
      <c r="E40" s="117"/>
      <c r="F40" s="117"/>
      <c r="G40" s="376">
        <f>G33/M27</f>
        <v>4.5844261604714571</v>
      </c>
    </row>
  </sheetData>
  <mergeCells count="7">
    <mergeCell ref="B33:F33"/>
    <mergeCell ref="B31:F31"/>
    <mergeCell ref="H4:K4"/>
    <mergeCell ref="L4:M4"/>
    <mergeCell ref="B32:F32"/>
    <mergeCell ref="B30:F30"/>
    <mergeCell ref="B29:F29"/>
  </mergeCells>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H13"/>
  <sheetViews>
    <sheetView workbookViewId="0">
      <pane xSplit="1" ySplit="4" topLeftCell="B5" activePane="bottomRight" state="frozen"/>
      <selection pane="topRight" activeCell="B1" sqref="B1"/>
      <selection pane="bottomLeft" activeCell="A5" sqref="A5"/>
      <selection pane="bottomRight" activeCell="E20" sqref="E20"/>
    </sheetView>
  </sheetViews>
  <sheetFormatPr defaultRowHeight="14.4" x14ac:dyDescent="0.3"/>
  <cols>
    <col min="2" max="3" width="26.33203125" customWidth="1"/>
    <col min="4" max="4" width="27.5546875" bestFit="1" customWidth="1"/>
    <col min="6" max="6" width="21.44140625" bestFit="1" customWidth="1"/>
    <col min="7" max="7" width="23.33203125" bestFit="1" customWidth="1"/>
    <col min="8" max="8" width="29.44140625" customWidth="1"/>
  </cols>
  <sheetData>
    <row r="1" spans="1:8" x14ac:dyDescent="0.3">
      <c r="A1" s="5" t="s">
        <v>61</v>
      </c>
      <c r="D1" s="141" t="s">
        <v>355</v>
      </c>
    </row>
    <row r="3" spans="1:8" x14ac:dyDescent="0.3">
      <c r="A3" s="397" t="s">
        <v>15</v>
      </c>
      <c r="B3" s="396" t="s">
        <v>55</v>
      </c>
      <c r="C3" s="396"/>
      <c r="D3" s="396"/>
      <c r="E3" s="396"/>
      <c r="F3" s="396"/>
      <c r="G3" s="397" t="s">
        <v>58</v>
      </c>
      <c r="H3" s="397"/>
    </row>
    <row r="4" spans="1:8" ht="45.75" customHeight="1" x14ac:dyDescent="0.3">
      <c r="A4" s="397"/>
      <c r="B4" s="6" t="s">
        <v>0</v>
      </c>
      <c r="C4" s="6" t="s">
        <v>8</v>
      </c>
      <c r="D4" s="6" t="s">
        <v>56</v>
      </c>
      <c r="E4" s="6" t="s">
        <v>3</v>
      </c>
      <c r="F4" s="27" t="s">
        <v>98</v>
      </c>
      <c r="G4" s="7" t="s">
        <v>59</v>
      </c>
      <c r="H4" s="7" t="s">
        <v>9</v>
      </c>
    </row>
    <row r="5" spans="1:8" x14ac:dyDescent="0.3">
      <c r="A5" s="2">
        <v>1</v>
      </c>
      <c r="B5" s="64" t="s">
        <v>156</v>
      </c>
      <c r="C5" s="19" t="s">
        <v>39</v>
      </c>
      <c r="D5" s="65">
        <v>2011</v>
      </c>
      <c r="E5" s="19">
        <v>1</v>
      </c>
      <c r="F5" s="60" t="s">
        <v>148</v>
      </c>
      <c r="G5" s="61" t="s">
        <v>149</v>
      </c>
      <c r="H5" s="2" t="s">
        <v>60</v>
      </c>
    </row>
    <row r="6" spans="1:8" x14ac:dyDescent="0.3">
      <c r="A6" s="2">
        <v>2</v>
      </c>
      <c r="B6" s="64" t="s">
        <v>157</v>
      </c>
      <c r="C6" s="19" t="s">
        <v>39</v>
      </c>
      <c r="D6" s="65">
        <v>2012</v>
      </c>
      <c r="E6" s="19">
        <v>2</v>
      </c>
      <c r="F6" s="60" t="s">
        <v>148</v>
      </c>
      <c r="G6" s="61" t="s">
        <v>149</v>
      </c>
      <c r="H6" s="2"/>
    </row>
    <row r="7" spans="1:8" x14ac:dyDescent="0.3">
      <c r="A7" s="2">
        <v>3</v>
      </c>
      <c r="B7" s="64" t="s">
        <v>158</v>
      </c>
      <c r="C7" s="19" t="s">
        <v>39</v>
      </c>
      <c r="D7" s="65">
        <v>2011</v>
      </c>
      <c r="E7" s="19">
        <v>1</v>
      </c>
      <c r="F7" s="60" t="s">
        <v>148</v>
      </c>
      <c r="G7" s="61" t="s">
        <v>149</v>
      </c>
      <c r="H7" s="2"/>
    </row>
    <row r="8" spans="1:8" x14ac:dyDescent="0.3">
      <c r="A8" s="2">
        <v>4</v>
      </c>
      <c r="B8" s="64" t="s">
        <v>159</v>
      </c>
      <c r="C8" s="19" t="s">
        <v>39</v>
      </c>
      <c r="D8" s="65">
        <v>2011</v>
      </c>
      <c r="E8" s="19">
        <v>1</v>
      </c>
      <c r="F8" s="60" t="s">
        <v>148</v>
      </c>
      <c r="G8" s="61" t="s">
        <v>149</v>
      </c>
      <c r="H8" s="2"/>
    </row>
    <row r="9" spans="1:8" x14ac:dyDescent="0.3">
      <c r="A9" s="2">
        <v>5</v>
      </c>
      <c r="B9" s="64" t="s">
        <v>160</v>
      </c>
      <c r="C9" s="19" t="s">
        <v>39</v>
      </c>
      <c r="D9" s="65">
        <v>2011</v>
      </c>
      <c r="E9" s="19">
        <v>1</v>
      </c>
      <c r="F9" s="60" t="s">
        <v>148</v>
      </c>
      <c r="G9" s="61" t="s">
        <v>149</v>
      </c>
      <c r="H9" s="2"/>
    </row>
    <row r="10" spans="1:8" x14ac:dyDescent="0.3">
      <c r="A10" s="2">
        <v>6</v>
      </c>
      <c r="B10" s="2"/>
      <c r="C10" s="19"/>
      <c r="D10" s="2"/>
      <c r="E10" s="19"/>
      <c r="F10" s="2"/>
      <c r="G10" s="2"/>
      <c r="H10" s="2"/>
    </row>
    <row r="13" spans="1:8" x14ac:dyDescent="0.3">
      <c r="B13" s="23" t="s">
        <v>97</v>
      </c>
    </row>
  </sheetData>
  <mergeCells count="3">
    <mergeCell ref="A3:A4"/>
    <mergeCell ref="B3:F3"/>
    <mergeCell ref="G3:H3"/>
  </mergeCells>
  <dataValidations count="2">
    <dataValidation type="list" allowBlank="1" showInputMessage="1" showErrorMessage="1" sqref="C5:C10">
      <formula1>Trader_location</formula1>
    </dataValidation>
    <dataValidation type="list" allowBlank="1" showInputMessage="1" showErrorMessage="1" sqref="E5:E10">
      <formula1>Phase</formula1>
    </dataValidation>
  </dataValidations>
  <hyperlinks>
    <hyperlink ref="D1" location="MODEL!A1" display="Model"/>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2:S74"/>
  <sheetViews>
    <sheetView workbookViewId="0">
      <selection activeCell="F25" sqref="F25"/>
    </sheetView>
  </sheetViews>
  <sheetFormatPr defaultRowHeight="14.4" x14ac:dyDescent="0.3"/>
  <cols>
    <col min="2" max="2" width="40.5546875" bestFit="1" customWidth="1"/>
    <col min="3" max="3" width="4.88671875" customWidth="1"/>
    <col min="4" max="4" width="12.6640625" bestFit="1" customWidth="1"/>
    <col min="5" max="5" width="2.6640625" customWidth="1"/>
    <col min="6" max="6" width="14.109375" bestFit="1" customWidth="1"/>
    <col min="7" max="7" width="2.44140625" customWidth="1"/>
    <col min="8" max="8" width="17" bestFit="1" customWidth="1"/>
    <col min="9" max="9" width="3" customWidth="1"/>
    <col min="10" max="10" width="13.33203125" bestFit="1" customWidth="1"/>
    <col min="11" max="11" width="3" customWidth="1"/>
    <col min="13" max="13" width="3.5546875" customWidth="1"/>
    <col min="14" max="14" width="15.33203125" bestFit="1" customWidth="1"/>
    <col min="15" max="15" width="3.5546875" customWidth="1"/>
    <col min="16" max="16" width="15.44140625" bestFit="1" customWidth="1"/>
    <col min="17" max="17" width="3.5546875" customWidth="1"/>
    <col min="18" max="18" width="10.109375" style="10" customWidth="1"/>
    <col min="19" max="19" width="3.5546875" style="10" customWidth="1"/>
    <col min="20" max="20" width="10.33203125" bestFit="1" customWidth="1"/>
    <col min="21" max="21" width="4.109375" customWidth="1"/>
    <col min="22" max="22" width="14.109375" bestFit="1" customWidth="1"/>
    <col min="23" max="23" width="4.44140625" customWidth="1"/>
    <col min="24" max="24" width="17" bestFit="1" customWidth="1"/>
    <col min="25" max="25" width="4.109375" customWidth="1"/>
  </cols>
  <sheetData>
    <row r="2" spans="2:16" x14ac:dyDescent="0.3">
      <c r="B2" s="17" t="s">
        <v>69</v>
      </c>
      <c r="D2" s="11" t="s">
        <v>70</v>
      </c>
      <c r="F2" s="11" t="s">
        <v>1</v>
      </c>
      <c r="H2" s="11" t="s">
        <v>2</v>
      </c>
      <c r="J2" s="11" t="s">
        <v>78</v>
      </c>
      <c r="L2" s="11" t="s">
        <v>10</v>
      </c>
      <c r="N2" s="11" t="s">
        <v>95</v>
      </c>
      <c r="P2" s="11" t="s">
        <v>83</v>
      </c>
    </row>
    <row r="3" spans="2:16" x14ac:dyDescent="0.3">
      <c r="B3" s="16" t="s">
        <v>67</v>
      </c>
      <c r="D3" t="s">
        <v>45</v>
      </c>
      <c r="F3" t="s">
        <v>72</v>
      </c>
      <c r="H3" t="s">
        <v>76</v>
      </c>
      <c r="J3" t="s">
        <v>79</v>
      </c>
      <c r="L3" t="s">
        <v>80</v>
      </c>
      <c r="N3" t="s">
        <v>79</v>
      </c>
      <c r="P3" s="18">
        <v>19</v>
      </c>
    </row>
    <row r="4" spans="2:16" x14ac:dyDescent="0.3">
      <c r="B4" s="16" t="s">
        <v>175</v>
      </c>
      <c r="D4" t="s">
        <v>71</v>
      </c>
      <c r="F4" t="s">
        <v>73</v>
      </c>
      <c r="H4" t="s">
        <v>77</v>
      </c>
      <c r="J4" t="s">
        <v>15</v>
      </c>
      <c r="L4" t="s">
        <v>81</v>
      </c>
      <c r="N4" t="s">
        <v>15</v>
      </c>
      <c r="P4" s="18">
        <v>15</v>
      </c>
    </row>
    <row r="5" spans="2:16" x14ac:dyDescent="0.3">
      <c r="B5" s="16" t="s">
        <v>177</v>
      </c>
      <c r="F5" t="s">
        <v>74</v>
      </c>
      <c r="L5" t="s">
        <v>82</v>
      </c>
      <c r="P5" s="18">
        <v>26</v>
      </c>
    </row>
    <row r="6" spans="2:16" x14ac:dyDescent="0.3">
      <c r="B6" s="16" t="s">
        <v>68</v>
      </c>
      <c r="F6" t="s">
        <v>75</v>
      </c>
      <c r="P6" s="9"/>
    </row>
    <row r="7" spans="2:16" x14ac:dyDescent="0.3">
      <c r="B7" s="16" t="s">
        <v>176</v>
      </c>
    </row>
    <row r="8" spans="2:16" s="10" customFormat="1" x14ac:dyDescent="0.3">
      <c r="B8" s="16" t="s">
        <v>215</v>
      </c>
    </row>
    <row r="10" spans="2:16" x14ac:dyDescent="0.3">
      <c r="B10" s="17" t="s">
        <v>3</v>
      </c>
      <c r="C10" s="10"/>
      <c r="D10" s="11" t="s">
        <v>36</v>
      </c>
      <c r="F10" s="11" t="s">
        <v>84</v>
      </c>
      <c r="H10" s="11" t="s">
        <v>86</v>
      </c>
      <c r="J10" s="11" t="s">
        <v>85</v>
      </c>
    </row>
    <row r="11" spans="2:16" x14ac:dyDescent="0.3">
      <c r="B11" s="13">
        <v>1</v>
      </c>
      <c r="C11" s="10"/>
      <c r="D11" t="s">
        <v>79</v>
      </c>
      <c r="F11" t="s">
        <v>79</v>
      </c>
      <c r="H11">
        <v>1</v>
      </c>
      <c r="J11">
        <v>1</v>
      </c>
    </row>
    <row r="12" spans="2:16" x14ac:dyDescent="0.3">
      <c r="B12" s="13">
        <v>2</v>
      </c>
      <c r="C12" s="10"/>
      <c r="D12" t="s">
        <v>15</v>
      </c>
      <c r="F12" t="s">
        <v>15</v>
      </c>
      <c r="H12">
        <v>2</v>
      </c>
      <c r="J12">
        <v>2</v>
      </c>
    </row>
    <row r="13" spans="2:16" x14ac:dyDescent="0.3">
      <c r="B13" s="10"/>
      <c r="C13" s="10"/>
      <c r="H13">
        <v>3</v>
      </c>
      <c r="J13">
        <v>3</v>
      </c>
    </row>
    <row r="14" spans="2:16" x14ac:dyDescent="0.3">
      <c r="B14" s="10"/>
      <c r="C14" s="10"/>
      <c r="H14">
        <v>4</v>
      </c>
      <c r="J14">
        <v>4</v>
      </c>
    </row>
    <row r="15" spans="2:16" x14ac:dyDescent="0.3">
      <c r="B15" s="17" t="s">
        <v>57</v>
      </c>
      <c r="C15" s="10"/>
      <c r="D15" s="11" t="s">
        <v>8</v>
      </c>
      <c r="F15" s="11" t="s">
        <v>91</v>
      </c>
      <c r="J15">
        <v>5</v>
      </c>
    </row>
    <row r="16" spans="2:16" x14ac:dyDescent="0.3">
      <c r="B16" s="13" t="s">
        <v>89</v>
      </c>
      <c r="D16" t="s">
        <v>87</v>
      </c>
      <c r="F16" t="s">
        <v>92</v>
      </c>
    </row>
    <row r="17" spans="2:6" x14ac:dyDescent="0.3">
      <c r="B17" s="13" t="s">
        <v>174</v>
      </c>
      <c r="D17" t="s">
        <v>88</v>
      </c>
      <c r="F17" t="s">
        <v>93</v>
      </c>
    </row>
    <row r="18" spans="2:6" x14ac:dyDescent="0.3">
      <c r="F18" t="s">
        <v>94</v>
      </c>
    </row>
    <row r="19" spans="2:6" x14ac:dyDescent="0.3">
      <c r="B19" s="17" t="s">
        <v>90</v>
      </c>
    </row>
    <row r="20" spans="2:6" x14ac:dyDescent="0.3">
      <c r="B20" s="14" t="s">
        <v>39</v>
      </c>
    </row>
    <row r="21" spans="2:6" x14ac:dyDescent="0.3">
      <c r="B21" s="14" t="s">
        <v>40</v>
      </c>
    </row>
    <row r="22" spans="2:6" x14ac:dyDescent="0.3">
      <c r="B22" s="14" t="s">
        <v>41</v>
      </c>
    </row>
    <row r="24" spans="2:6" x14ac:dyDescent="0.3">
      <c r="B24" s="22" t="s">
        <v>96</v>
      </c>
    </row>
    <row r="25" spans="2:6" x14ac:dyDescent="0.3">
      <c r="B25" s="15" t="str">
        <f>'[1]Group 1'!$B$1</f>
        <v>KIDATU(Donge Mtambile)</v>
      </c>
    </row>
    <row r="26" spans="2:6" x14ac:dyDescent="0.3">
      <c r="B26" s="15" t="str">
        <f>'[1]Group 2'!$B$1</f>
        <v>MWEMBE CHENGA(Donge Mtambile)</v>
      </c>
    </row>
    <row r="27" spans="2:6" x14ac:dyDescent="0.3">
      <c r="B27" s="15" t="str">
        <f>'[1]Group 3'!$B$1</f>
        <v>KIJAMBO NA WATU</v>
      </c>
    </row>
    <row r="28" spans="2:6" x14ac:dyDescent="0.3">
      <c r="B28" s="15" t="str">
        <f>'[1]Group 4'!$B$1</f>
        <v>TUSITENGANE(CHUWINI B)</v>
      </c>
    </row>
    <row r="29" spans="2:6" x14ac:dyDescent="0.3">
      <c r="B29" s="15" t="str">
        <f>'[1]Group 5'!$B$1</f>
        <v>MNYONGE MBAGO(MATETEMA)</v>
      </c>
    </row>
    <row r="30" spans="2:6" x14ac:dyDescent="0.3">
      <c r="B30" s="15" t="str">
        <f>'[1]Group 6'!$B$1</f>
        <v>MWANZO MGUMU(FUJONI)</v>
      </c>
    </row>
    <row r="31" spans="2:6" x14ac:dyDescent="0.3">
      <c r="B31" s="15" t="str">
        <f>'[1]Group 7'!$B$1</f>
        <v>NIA NJEMA BANGALOO(MAHONDA B)</v>
      </c>
    </row>
    <row r="32" spans="2:6" x14ac:dyDescent="0.3">
      <c r="B32" s="15" t="str">
        <f>'[1]Group 8'!$B$1</f>
        <v>NEEMA ZA MOLA(MAHONDA .A)</v>
      </c>
    </row>
    <row r="33" spans="2:2" x14ac:dyDescent="0.3">
      <c r="B33" s="15" t="str">
        <f>'[1]Group 9'!$B$1</f>
        <v>NGUVU KAZI(MKUMBI MAHONDA)</v>
      </c>
    </row>
    <row r="34" spans="2:2" x14ac:dyDescent="0.3">
      <c r="B34" s="15" t="str">
        <f>'[1]Group 10'!$B$1</f>
        <v>TUJIPANGE(UNGUJA UKUU TINDINI)</v>
      </c>
    </row>
    <row r="35" spans="2:2" x14ac:dyDescent="0.3">
      <c r="B35" s="15" t="str">
        <f>'[1]Group 11'!$B$1</f>
        <v>NASISI TUWE MBELE(MPAPA)</v>
      </c>
    </row>
    <row r="36" spans="2:2" x14ac:dyDescent="0.3">
      <c r="B36" s="15" t="str">
        <f>'[1]Group 12'!$B$1</f>
        <v>BORA IMANI(KIVUNGE)</v>
      </c>
    </row>
    <row r="37" spans="2:2" x14ac:dyDescent="0.3">
      <c r="B37" s="15" t="str">
        <f>'[1]Group 13'!$B$1</f>
        <v>ENEANI TUBARIKI(DONGE KIPANGE)</v>
      </c>
    </row>
    <row r="38" spans="2:2" x14ac:dyDescent="0.3">
      <c r="B38" s="15" t="str">
        <f>'[1]Group 14'!$B$1</f>
        <v>TUSTAHAMILIANE(MUWANDA)</v>
      </c>
    </row>
    <row r="39" spans="2:2" x14ac:dyDescent="0.3">
      <c r="B39" s="15" t="str">
        <f>'[1]Group 15'!$B$1</f>
        <v>YARABI TUWEZESHE(BUBUBU)</v>
      </c>
    </row>
    <row r="40" spans="2:2" x14ac:dyDescent="0.3">
      <c r="B40" s="15" t="str">
        <f>'[1]Group 16'!$B$1</f>
        <v>MKATALENI(MKATALENI)</v>
      </c>
    </row>
    <row r="41" spans="2:2" x14ac:dyDescent="0.3">
      <c r="B41" s="15" t="str">
        <f>'[1]Group 17'!$B$1</f>
        <v xml:space="preserve"> MKOROFI SI MWENZETU(DONGE CHECHELE)</v>
      </c>
    </row>
    <row r="42" spans="2:2" x14ac:dyDescent="0.3">
      <c r="B42" s="15" t="str">
        <f>'[1]Group 18'!$B$1</f>
        <v>TUSIMAME IMARA</v>
      </c>
    </row>
    <row r="43" spans="2:2" x14ac:dyDescent="0.3">
      <c r="B43" s="15" t="str">
        <f>'[1]Group 19'!$B$1</f>
        <v>TUPENDANE(DONGE PALE)</v>
      </c>
    </row>
    <row r="44" spans="2:2" x14ac:dyDescent="0.3">
      <c r="B44" s="15" t="str">
        <f>'[1]Group 20'!$B$1</f>
        <v>NASISI TUTHAMINIWE(CHUTAMA)</v>
      </c>
    </row>
    <row r="45" spans="2:2" x14ac:dyDescent="0.3">
      <c r="B45" s="15" t="str">
        <f>'[1]Group 21'!$B$1</f>
        <v>TUJITENGE NA UMASKINI(MAHONDA)</v>
      </c>
    </row>
    <row r="46" spans="2:2" x14ac:dyDescent="0.3">
      <c r="B46" s="15" t="str">
        <f>'[1]Group 22'!$B$1</f>
        <v>CHUMA UTUMIE(MTENDE)</v>
      </c>
    </row>
    <row r="47" spans="2:2" x14ac:dyDescent="0.3">
      <c r="B47" s="15" t="str">
        <f>'[1]Group 23'!$B$1</f>
        <v xml:space="preserve"> ZAVELOCPA(MTWANGO)</v>
      </c>
    </row>
    <row r="48" spans="2:2" x14ac:dyDescent="0.3">
      <c r="B48" s="15" t="str">
        <f>'[1]Group 24'!$B$1</f>
        <v>TUMUAMINI MUNGU(KIVUNGE)</v>
      </c>
    </row>
    <row r="49" spans="2:2" x14ac:dyDescent="0.3">
      <c r="B49" s="15" t="str">
        <f>'[1]Group 25'!$B$1</f>
        <v>UMOJA NI NGUVU(CHUINI .A)</v>
      </c>
    </row>
    <row r="50" spans="2:2" x14ac:dyDescent="0.3">
      <c r="B50" s="15" t="str">
        <f>'[1]Group 26'!$B$1</f>
        <v>TUWEWASTAHAMILIVU(KIKOBA DONGE MCHANGANI)</v>
      </c>
    </row>
    <row r="51" spans="2:2" x14ac:dyDescent="0.3">
      <c r="B51" s="15" t="str">
        <f>'[1]Group 27'!$B$1</f>
        <v>SISI KWA SISI(DONGE KIJIMOTO)</v>
      </c>
    </row>
    <row r="52" spans="2:2" x14ac:dyDescent="0.3">
      <c r="B52" s="15" t="str">
        <f>'[1]Group 28'!$B$1</f>
        <v>SISI KWA SISI(DONGE KARANGE)</v>
      </c>
    </row>
    <row r="53" spans="2:2" x14ac:dyDescent="0.3">
      <c r="B53" s="15" t="str">
        <f>'[1]Group 29'!$B$1</f>
        <v>UMOJA NI NGUVU(MKWAJUNI)</v>
      </c>
    </row>
    <row r="54" spans="2:2" x14ac:dyDescent="0.3">
      <c r="B54" s="15" t="str">
        <f>'[1]Group 30'!$B$1</f>
        <v>SISI KWA SISI(DONGE KARANGE)</v>
      </c>
    </row>
    <row r="55" spans="2:2" x14ac:dyDescent="0.3">
      <c r="B55" s="15" t="str">
        <f>'[1]Group 31'!$B$1</f>
        <v>KUMEKUCHA(MAKUNDUCHI)</v>
      </c>
    </row>
    <row r="56" spans="2:2" x14ac:dyDescent="0.3">
      <c r="B56" s="15" t="str">
        <f>'[1]Group 32'!$B$1</f>
        <v>NASISI TUNAWEZA(MCHANGANI SHAMBA)</v>
      </c>
    </row>
    <row r="57" spans="2:2" x14ac:dyDescent="0.3">
      <c r="B57" s="15" t="str">
        <f>'[1]Group 33'!$B$1</f>
        <v>KITOGANI (KITOGANI)</v>
      </c>
    </row>
    <row r="58" spans="2:2" x14ac:dyDescent="0.3">
      <c r="B58" s="15" t="str">
        <f>'[1]Group 34'!$B$1</f>
        <v>TUNAWEZA(UZINI)</v>
      </c>
    </row>
    <row r="59" spans="2:2" x14ac:dyDescent="0.3">
      <c r="B59" s="15" t="str">
        <f>'[1]Group 35'!$B$1</f>
        <v>MTO WA PWANI</v>
      </c>
    </row>
    <row r="60" spans="2:2" x14ac:dyDescent="0.3">
      <c r="B60" s="15" t="str">
        <f>'[1]Group 36'!$B$1</f>
        <v>TUJITAHIDI (NYAMANZI)</v>
      </c>
    </row>
    <row r="61" spans="2:2" x14ac:dyDescent="0.3">
      <c r="B61" s="15" t="str">
        <f>'[1]Group 37'!$B$1</f>
        <v>MOLA TUPE ( NDIJANI) )</v>
      </c>
    </row>
    <row r="62" spans="2:2" x14ac:dyDescent="0.3">
      <c r="B62" s="15" t="str">
        <f>'[1]Group 38'!$B$1</f>
        <v>KISAUNI CBR</v>
      </c>
    </row>
    <row r="63" spans="2:2" x14ac:dyDescent="0.3">
      <c r="B63" s="15" t="str">
        <f>'[1]Group 39'!$B$1</f>
        <v>(TUHURUMIENI) TUNDUNI</v>
      </c>
    </row>
    <row r="64" spans="2:2" x14ac:dyDescent="0.3">
      <c r="B64" s="15" t="str">
        <f>'[1]Group 40'!$B$1</f>
        <v>HIFADHI(DONGE PALE)</v>
      </c>
    </row>
    <row r="65" spans="2:2" x14ac:dyDescent="0.3">
      <c r="B65" s="15" t="str">
        <f>'[1]Group 41'!$B$1</f>
        <v>MARIDHIANO (MTENDE)</v>
      </c>
    </row>
    <row r="66" spans="2:2" x14ac:dyDescent="0.3">
      <c r="B66" s="15" t="str">
        <f>'[1]Group 42'!$B$1</f>
        <v>TUNAMUOMBA MUNGU (KIBENI)</v>
      </c>
    </row>
    <row r="67" spans="2:2" x14ac:dyDescent="0.3">
      <c r="B67" s="15" t="str">
        <f>'[1]Group 43'!$B$1</f>
        <v>MKOROFI SI MWENZETU ( JENDELE)</v>
      </c>
    </row>
    <row r="68" spans="2:2" x14ac:dyDescent="0.3">
      <c r="B68" s="15" t="str">
        <f>'[1]Group 44'!$B$1</f>
        <v>MYD0 (FUONI)</v>
      </c>
    </row>
    <row r="69" spans="2:2" x14ac:dyDescent="0.3">
      <c r="B69" s="15" t="str">
        <f>'[1]Group 45'!$B$1</f>
        <v>ARI MPYA (KOMBENI)</v>
      </c>
    </row>
    <row r="70" spans="2:2" x14ac:dyDescent="0.3">
      <c r="B70" s="15" t="str">
        <f>'[1]Group 46'!$B$1</f>
        <v>HATUKOSANI KIBONDENI (FUONI UWANDANI)</v>
      </c>
    </row>
    <row r="71" spans="2:2" x14ac:dyDescent="0.3">
      <c r="B71" s="15" t="str">
        <f>'[1]Group 47'!$B$1</f>
        <v>TUNAWEZA (DONGE MBIJI)</v>
      </c>
    </row>
    <row r="72" spans="2:2" x14ac:dyDescent="0.3">
      <c r="B72" s="15" t="str">
        <f>'[1]Group 48'!$B$1</f>
        <v>MVIVU HATUMTAKI (KOANI)</v>
      </c>
    </row>
    <row r="73" spans="2:2" x14ac:dyDescent="0.3">
      <c r="B73" s="15" t="str">
        <f>'[1]Group 49'!$B$1</f>
        <v>IMARA COOPERATIVE (DONGE CHANJANI)</v>
      </c>
    </row>
    <row r="74" spans="2:2" x14ac:dyDescent="0.3">
      <c r="B74" s="15" t="str">
        <f>'[1]Group 50'!$B$1</f>
        <v>TUNAMUOMBA MUNGU (UMBUJI)</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I79"/>
  <sheetViews>
    <sheetView topLeftCell="A56" workbookViewId="0">
      <selection activeCell="B56" sqref="B56"/>
    </sheetView>
  </sheetViews>
  <sheetFormatPr defaultRowHeight="14.4" x14ac:dyDescent="0.3"/>
  <cols>
    <col min="2" max="2" width="30.6640625" customWidth="1"/>
    <col min="3" max="3" width="20.88671875" bestFit="1" customWidth="1"/>
    <col min="4" max="4" width="24.88671875" customWidth="1"/>
    <col min="5" max="5" width="21.88671875" style="119" customWidth="1"/>
    <col min="6" max="6" width="23.109375" style="117" bestFit="1" customWidth="1"/>
    <col min="7" max="7" width="12.44140625" customWidth="1"/>
    <col min="8" max="8" width="18" customWidth="1"/>
    <col min="9" max="9" width="18.44140625" style="119" customWidth="1"/>
  </cols>
  <sheetData>
    <row r="1" spans="1:9" x14ac:dyDescent="0.3">
      <c r="A1" s="11" t="s">
        <v>385</v>
      </c>
    </row>
    <row r="2" spans="1:9" s="117" customFormat="1" x14ac:dyDescent="0.3">
      <c r="E2" s="119"/>
      <c r="I2" s="119"/>
    </row>
    <row r="3" spans="1:9" ht="28.8" x14ac:dyDescent="0.3">
      <c r="B3" t="s">
        <v>257</v>
      </c>
      <c r="C3" t="s">
        <v>34</v>
      </c>
      <c r="D3" t="s">
        <v>358</v>
      </c>
      <c r="E3" s="119" t="s">
        <v>357</v>
      </c>
      <c r="F3" s="117" t="s">
        <v>363</v>
      </c>
      <c r="G3" t="s">
        <v>289</v>
      </c>
      <c r="H3" t="s">
        <v>365</v>
      </c>
      <c r="I3" s="292" t="s">
        <v>427</v>
      </c>
    </row>
    <row r="4" spans="1:9" x14ac:dyDescent="0.3">
      <c r="B4" t="s">
        <v>371</v>
      </c>
      <c r="C4" t="s">
        <v>359</v>
      </c>
      <c r="D4" t="s">
        <v>71</v>
      </c>
      <c r="E4" s="119">
        <f>AVERAGEIFS(FarmerOUTCOMES[NET PROFIT LESS COUNTERFACTUAL],FarmerOUTCOMES[DI-Membership],"Uwamwima")</f>
        <v>569372.80701754382</v>
      </c>
      <c r="F4" s="117" t="s">
        <v>364</v>
      </c>
      <c r="G4" t="s">
        <v>361</v>
      </c>
      <c r="H4">
        <v>3</v>
      </c>
      <c r="I4" s="119">
        <f>Table4[[#This Row],[Net value]]*Table4[[#This Row],[Frequency factor]]</f>
        <v>1708118.4210526315</v>
      </c>
    </row>
    <row r="5" spans="1:9" x14ac:dyDescent="0.3">
      <c r="B5" t="s">
        <v>371</v>
      </c>
      <c r="C5" t="s">
        <v>359</v>
      </c>
      <c r="D5" t="s">
        <v>45</v>
      </c>
      <c r="E5" s="119">
        <f>AVERAGEIFS(FarmerOUTCOMES[NET PROFIT LESS COUNTERFACTUAL],FarmerOUTCOMES[DI-Membership],"UWZ")</f>
        <v>217000</v>
      </c>
      <c r="F5" s="117" t="str">
        <f>F4</f>
        <v>Average of characteristic</v>
      </c>
      <c r="G5" t="s">
        <v>361</v>
      </c>
      <c r="H5">
        <v>3</v>
      </c>
      <c r="I5" s="119">
        <f>Table4[[#This Row],[Net value]]*Table4[[#This Row],[Frequency factor]]</f>
        <v>651000</v>
      </c>
    </row>
    <row r="6" spans="1:9" x14ac:dyDescent="0.3">
      <c r="B6" t="s">
        <v>372</v>
      </c>
      <c r="C6" t="s">
        <v>359</v>
      </c>
      <c r="D6" t="s">
        <v>82</v>
      </c>
      <c r="E6" s="119">
        <f>AVERAGE(FarmerOUTCOMES[Value of benefit A])</f>
        <v>52253.968253968254</v>
      </c>
      <c r="F6" s="117" t="s">
        <v>366</v>
      </c>
      <c r="G6" t="s">
        <v>290</v>
      </c>
      <c r="H6">
        <v>12</v>
      </c>
      <c r="I6" s="119">
        <f>Table4[[#This Row],[Net value]]*Table4[[#This Row],[Frequency factor]]</f>
        <v>627047.61904761905</v>
      </c>
    </row>
    <row r="7" spans="1:9" x14ac:dyDescent="0.3">
      <c r="B7" t="s">
        <v>373</v>
      </c>
      <c r="C7" t="s">
        <v>359</v>
      </c>
      <c r="D7" t="s">
        <v>82</v>
      </c>
      <c r="E7" s="119">
        <f>AVERAGE(FarmerOUTCOMES[Willingness to pay])</f>
        <v>23555.555555555555</v>
      </c>
      <c r="F7" s="117" t="s">
        <v>356</v>
      </c>
      <c r="G7" t="s">
        <v>290</v>
      </c>
      <c r="H7">
        <v>12</v>
      </c>
      <c r="I7" s="119">
        <f>Table4[[#This Row],[Net value]]*Table4[[#This Row],[Frequency factor]]</f>
        <v>282666.66666666663</v>
      </c>
    </row>
    <row r="8" spans="1:9" x14ac:dyDescent="0.3">
      <c r="B8" t="s">
        <v>374</v>
      </c>
      <c r="C8" t="s">
        <v>359</v>
      </c>
      <c r="D8" t="s">
        <v>82</v>
      </c>
      <c r="E8" s="119">
        <f>AVERAGE(FarmerOUTCOMES[Willingness to pay3])</f>
        <v>5785.7142857142853</v>
      </c>
      <c r="F8" s="117" t="s">
        <v>356</v>
      </c>
      <c r="G8" t="s">
        <v>290</v>
      </c>
      <c r="H8">
        <v>12</v>
      </c>
      <c r="I8" s="119">
        <f>Table4[[#This Row],[Net value]]*Table4[[#This Row],[Frequency factor]]</f>
        <v>69428.57142857142</v>
      </c>
    </row>
    <row r="9" spans="1:9" x14ac:dyDescent="0.3">
      <c r="B9" t="s">
        <v>375</v>
      </c>
      <c r="C9" t="s">
        <v>359</v>
      </c>
      <c r="D9" t="s">
        <v>77</v>
      </c>
      <c r="E9" s="119">
        <f>AVERAGEIFS(FarmerOUTCOMES[Willingness to accept compensation],FarmerOUTCOMES[DI-Gender],"Female")</f>
        <v>147307.69230769231</v>
      </c>
      <c r="F9" s="117" t="s">
        <v>364</v>
      </c>
      <c r="G9" t="s">
        <v>290</v>
      </c>
      <c r="H9">
        <v>12</v>
      </c>
      <c r="I9" s="119">
        <f>Table4[[#This Row],[Net value]]*Table4[[#This Row],[Frequency factor]]</f>
        <v>1767692.3076923077</v>
      </c>
    </row>
    <row r="10" spans="1:9" x14ac:dyDescent="0.3">
      <c r="B10" t="s">
        <v>371</v>
      </c>
      <c r="C10" t="s">
        <v>46</v>
      </c>
      <c r="D10" t="s">
        <v>71</v>
      </c>
      <c r="E10" s="119">
        <f>E4</f>
        <v>569372.80701754382</v>
      </c>
      <c r="F10" s="117" t="s">
        <v>364</v>
      </c>
      <c r="G10" t="s">
        <v>361</v>
      </c>
      <c r="H10">
        <v>3</v>
      </c>
      <c r="I10" s="119">
        <f>Table4[[#This Row],[Net value]]*Table4[[#This Row],[Frequency factor]]</f>
        <v>1708118.4210526315</v>
      </c>
    </row>
    <row r="11" spans="1:9" x14ac:dyDescent="0.3">
      <c r="B11" t="s">
        <v>371</v>
      </c>
      <c r="C11" t="s">
        <v>46</v>
      </c>
      <c r="D11" t="s">
        <v>45</v>
      </c>
      <c r="E11" s="119">
        <f>E5</f>
        <v>217000</v>
      </c>
      <c r="F11" s="117" t="s">
        <v>364</v>
      </c>
      <c r="G11" t="s">
        <v>361</v>
      </c>
      <c r="H11">
        <v>3</v>
      </c>
      <c r="I11" s="119">
        <f>Table4[[#This Row],[Net value]]*Table4[[#This Row],[Frequency factor]]</f>
        <v>651000</v>
      </c>
    </row>
    <row r="12" spans="1:9" x14ac:dyDescent="0.3">
      <c r="B12" t="s">
        <v>371</v>
      </c>
      <c r="C12" t="s">
        <v>44</v>
      </c>
      <c r="D12" t="s">
        <v>82</v>
      </c>
      <c r="E12" s="119">
        <v>300</v>
      </c>
      <c r="F12" s="117" t="s">
        <v>439</v>
      </c>
      <c r="G12" t="s">
        <v>290</v>
      </c>
      <c r="H12">
        <v>12</v>
      </c>
      <c r="I12" s="119">
        <f>Table4[[#This Row],[Net value]]*Table4[[#This Row],[Frequency factor]]</f>
        <v>3600</v>
      </c>
    </row>
    <row r="14" spans="1:9" x14ac:dyDescent="0.3">
      <c r="A14" s="11" t="s">
        <v>53</v>
      </c>
    </row>
    <row r="15" spans="1:9" s="117" customFormat="1" x14ac:dyDescent="0.3">
      <c r="E15" s="119"/>
      <c r="I15" s="119"/>
    </row>
    <row r="16" spans="1:9" s="117" customFormat="1" x14ac:dyDescent="0.3">
      <c r="B16" s="117" t="s">
        <v>34</v>
      </c>
      <c r="C16" s="117" t="s">
        <v>413</v>
      </c>
      <c r="D16" s="1" t="s">
        <v>414</v>
      </c>
      <c r="E16" s="117" t="s">
        <v>412</v>
      </c>
      <c r="I16" s="119"/>
    </row>
    <row r="17" spans="1:5" x14ac:dyDescent="0.3">
      <c r="B17" s="117" t="s">
        <v>404</v>
      </c>
      <c r="C17" s="117">
        <v>427</v>
      </c>
      <c r="D17" s="1" t="s">
        <v>82</v>
      </c>
      <c r="E17" s="117" t="s">
        <v>410</v>
      </c>
    </row>
    <row r="18" spans="1:5" x14ac:dyDescent="0.3">
      <c r="B18" s="117" t="s">
        <v>405</v>
      </c>
      <c r="C18" s="117">
        <v>84</v>
      </c>
      <c r="D18" s="1" t="s">
        <v>82</v>
      </c>
      <c r="E18" s="117" t="s">
        <v>411</v>
      </c>
    </row>
    <row r="19" spans="1:5" x14ac:dyDescent="0.3">
      <c r="B19" s="117" t="s">
        <v>406</v>
      </c>
      <c r="C19" s="117">
        <v>222</v>
      </c>
      <c r="D19" s="1" t="s">
        <v>82</v>
      </c>
      <c r="E19" s="117" t="s">
        <v>410</v>
      </c>
    </row>
    <row r="20" spans="1:5" x14ac:dyDescent="0.3">
      <c r="B20" s="117" t="s">
        <v>407</v>
      </c>
      <c r="C20" s="117">
        <v>110</v>
      </c>
      <c r="D20" s="1" t="s">
        <v>82</v>
      </c>
      <c r="E20" s="117" t="s">
        <v>410</v>
      </c>
    </row>
    <row r="21" spans="1:5" x14ac:dyDescent="0.3">
      <c r="B21" s="117" t="s">
        <v>408</v>
      </c>
      <c r="C21" s="117">
        <v>376</v>
      </c>
      <c r="D21" s="1" t="s">
        <v>82</v>
      </c>
      <c r="E21" s="117" t="s">
        <v>410</v>
      </c>
    </row>
    <row r="22" spans="1:5" x14ac:dyDescent="0.3">
      <c r="B22" s="117" t="s">
        <v>409</v>
      </c>
      <c r="C22" s="117">
        <v>186</v>
      </c>
      <c r="D22" s="1" t="s">
        <v>82</v>
      </c>
      <c r="E22" s="117" t="s">
        <v>410</v>
      </c>
    </row>
    <row r="23" spans="1:5" x14ac:dyDescent="0.3">
      <c r="B23" s="117" t="s">
        <v>416</v>
      </c>
      <c r="C23" s="117">
        <v>19</v>
      </c>
      <c r="D23" s="1" t="s">
        <v>415</v>
      </c>
      <c r="E23" s="117" t="s">
        <v>410</v>
      </c>
    </row>
    <row r="24" spans="1:5" x14ac:dyDescent="0.3">
      <c r="B24" s="117" t="s">
        <v>417</v>
      </c>
      <c r="C24" s="117">
        <v>4</v>
      </c>
      <c r="D24" s="1" t="s">
        <v>415</v>
      </c>
      <c r="E24" s="117" t="s">
        <v>410</v>
      </c>
    </row>
    <row r="25" spans="1:5" x14ac:dyDescent="0.3">
      <c r="B25" s="117" t="s">
        <v>418</v>
      </c>
      <c r="C25" s="117">
        <v>15</v>
      </c>
      <c r="D25" s="1" t="s">
        <v>415</v>
      </c>
      <c r="E25" s="117" t="s">
        <v>410</v>
      </c>
    </row>
    <row r="26" spans="1:5" x14ac:dyDescent="0.3">
      <c r="B26" s="117" t="s">
        <v>419</v>
      </c>
      <c r="C26" s="117">
        <v>4</v>
      </c>
      <c r="D26" s="1" t="s">
        <v>415</v>
      </c>
      <c r="E26" s="117" t="s">
        <v>410</v>
      </c>
    </row>
    <row r="27" spans="1:5" x14ac:dyDescent="0.3">
      <c r="B27" s="117" t="s">
        <v>424</v>
      </c>
      <c r="C27" s="117">
        <v>6</v>
      </c>
      <c r="D27" s="1" t="s">
        <v>420</v>
      </c>
      <c r="E27" s="117" t="s">
        <v>426</v>
      </c>
    </row>
    <row r="28" spans="1:5" x14ac:dyDescent="0.3">
      <c r="B28" s="117" t="s">
        <v>425</v>
      </c>
      <c r="C28" s="117">
        <v>7</v>
      </c>
      <c r="D28" s="1" t="s">
        <v>420</v>
      </c>
      <c r="E28" s="117" t="s">
        <v>426</v>
      </c>
    </row>
    <row r="29" spans="1:5" ht="42.75" customHeight="1" x14ac:dyDescent="0.3">
      <c r="B29" s="117" t="s">
        <v>428</v>
      </c>
      <c r="C29" s="117">
        <v>23</v>
      </c>
      <c r="D29" s="287" t="s">
        <v>421</v>
      </c>
      <c r="E29" s="118" t="s">
        <v>454</v>
      </c>
    </row>
    <row r="30" spans="1:5" ht="42.75" customHeight="1" x14ac:dyDescent="0.3">
      <c r="B30" s="117" t="s">
        <v>429</v>
      </c>
      <c r="C30" s="117">
        <v>19</v>
      </c>
      <c r="D30" s="287" t="s">
        <v>421</v>
      </c>
      <c r="E30" s="118" t="str">
        <f>E29</f>
        <v>Community analysis and beneficiary database</v>
      </c>
    </row>
    <row r="32" spans="1:5" x14ac:dyDescent="0.3">
      <c r="A32" s="11" t="s">
        <v>430</v>
      </c>
    </row>
    <row r="34" spans="1:9" x14ac:dyDescent="0.3">
      <c r="B34" s="146" t="s">
        <v>35</v>
      </c>
      <c r="C34" s="145" t="s">
        <v>288</v>
      </c>
      <c r="D34" s="146" t="s">
        <v>38</v>
      </c>
      <c r="E34" s="146" t="s">
        <v>284</v>
      </c>
      <c r="F34" s="146" t="s">
        <v>285</v>
      </c>
      <c r="G34" s="146" t="s">
        <v>286</v>
      </c>
      <c r="H34" s="147" t="s">
        <v>287</v>
      </c>
    </row>
    <row r="35" spans="1:9" x14ac:dyDescent="0.3">
      <c r="B35" s="142" t="s">
        <v>367</v>
      </c>
      <c r="C35" s="144" t="s">
        <v>42</v>
      </c>
      <c r="D35" s="283">
        <f>(260/6)/100</f>
        <v>0.43333333333333335</v>
      </c>
      <c r="E35" s="283">
        <f>(120/6)/100</f>
        <v>0.2</v>
      </c>
      <c r="F35" s="283">
        <f>(135/6)/100</f>
        <v>0.22500000000000001</v>
      </c>
      <c r="G35" s="283">
        <v>0.14000000000000001</v>
      </c>
      <c r="H35" s="148">
        <f>(SUM(Attribution18[[#This Row],[VSO]:[CASH PARTNER]]))</f>
        <v>0.85833333333333328</v>
      </c>
    </row>
    <row r="36" spans="1:9" x14ac:dyDescent="0.3">
      <c r="B36" s="140" t="s">
        <v>362</v>
      </c>
      <c r="C36" s="144" t="s">
        <v>42</v>
      </c>
      <c r="D36" s="283">
        <f>(240/6)/100</f>
        <v>0.4</v>
      </c>
      <c r="E36" s="283">
        <f>(150/6)/100</f>
        <v>0.25</v>
      </c>
      <c r="F36" s="283">
        <f>(120/6)/100</f>
        <v>0.2</v>
      </c>
      <c r="G36" s="283">
        <v>0.15</v>
      </c>
      <c r="H36" s="148">
        <f>(SUM(Attribution18[[#This Row],[VSO]:[CASH PARTNER]]))</f>
        <v>0.85000000000000009</v>
      </c>
    </row>
    <row r="37" spans="1:9" x14ac:dyDescent="0.3">
      <c r="B37" s="142" t="s">
        <v>368</v>
      </c>
      <c r="C37" s="144" t="s">
        <v>42</v>
      </c>
      <c r="D37" s="148">
        <f>(270/6)/100</f>
        <v>0.45</v>
      </c>
      <c r="E37" s="148">
        <f>(240/6)/100</f>
        <v>0.4</v>
      </c>
      <c r="F37" s="148">
        <f>(85/6)/100</f>
        <v>0.14166666666666666</v>
      </c>
      <c r="G37" s="148">
        <v>0.01</v>
      </c>
      <c r="H37" s="148">
        <f>(SUM(Attribution18[[#This Row],[VSO]:[CASH PARTNER]]))</f>
        <v>0.9916666666666667</v>
      </c>
    </row>
    <row r="38" spans="1:9" x14ac:dyDescent="0.3">
      <c r="B38" s="143" t="s">
        <v>369</v>
      </c>
      <c r="C38" s="144" t="s">
        <v>42</v>
      </c>
      <c r="D38" s="166">
        <f>(270/6)/100</f>
        <v>0.45</v>
      </c>
      <c r="E38" s="166">
        <f>(240/6)/100</f>
        <v>0.4</v>
      </c>
      <c r="F38" s="166">
        <f>(85/6)/100</f>
        <v>0.14166666666666666</v>
      </c>
      <c r="G38" s="166">
        <v>0.01</v>
      </c>
      <c r="H38" s="148">
        <f>(SUM(Attribution18[[#This Row],[VSO]:[CASH PARTNER]]))</f>
        <v>0.9916666666666667</v>
      </c>
    </row>
    <row r="39" spans="1:9" x14ac:dyDescent="0.3">
      <c r="B39" s="142" t="s">
        <v>370</v>
      </c>
      <c r="C39" s="144" t="s">
        <v>42</v>
      </c>
      <c r="D39" s="168">
        <f>(325/6)/100</f>
        <v>0.54166666666666663</v>
      </c>
      <c r="E39" s="168">
        <f>(165/6)/100</f>
        <v>0.27500000000000002</v>
      </c>
      <c r="F39" s="168">
        <f>(100/6)/100</f>
        <v>0.16666666666666669</v>
      </c>
      <c r="G39" s="168">
        <v>0.01</v>
      </c>
      <c r="H39" s="167">
        <f>(SUM(Attribution18[[#This Row],[VSO]:[CASH PARTNER]]))</f>
        <v>0.98333333333333339</v>
      </c>
    </row>
    <row r="40" spans="1:9" x14ac:dyDescent="0.3">
      <c r="B40" s="164" t="s">
        <v>360</v>
      </c>
      <c r="C40" s="288" t="s">
        <v>422</v>
      </c>
      <c r="D40" s="148">
        <v>0</v>
      </c>
      <c r="E40" s="148">
        <v>0</v>
      </c>
      <c r="F40" s="148">
        <v>0</v>
      </c>
      <c r="G40" s="148">
        <v>0</v>
      </c>
      <c r="H40" s="148">
        <v>1</v>
      </c>
    </row>
    <row r="41" spans="1:9" s="117" customFormat="1" x14ac:dyDescent="0.3">
      <c r="B41" s="164" t="s">
        <v>360</v>
      </c>
      <c r="C41" s="288" t="s">
        <v>423</v>
      </c>
      <c r="D41" s="148">
        <v>0</v>
      </c>
      <c r="E41" s="148">
        <v>0</v>
      </c>
      <c r="F41" s="148">
        <v>0</v>
      </c>
      <c r="G41" s="148">
        <v>0</v>
      </c>
      <c r="H41" s="148">
        <v>1</v>
      </c>
      <c r="I41" s="119"/>
    </row>
    <row r="42" spans="1:9" x14ac:dyDescent="0.3">
      <c r="B42" s="164" t="s">
        <v>367</v>
      </c>
      <c r="C42" s="165" t="s">
        <v>46</v>
      </c>
      <c r="D42" s="148">
        <v>0</v>
      </c>
      <c r="E42" s="148">
        <v>0</v>
      </c>
      <c r="F42" s="148">
        <v>0</v>
      </c>
      <c r="G42" s="148">
        <v>0</v>
      </c>
      <c r="H42" s="148">
        <v>1</v>
      </c>
    </row>
    <row r="45" spans="1:9" x14ac:dyDescent="0.3">
      <c r="A45" s="11" t="s">
        <v>435</v>
      </c>
    </row>
    <row r="47" spans="1:9" x14ac:dyDescent="0.3">
      <c r="B47" s="293" t="s">
        <v>35</v>
      </c>
      <c r="C47" s="293" t="s">
        <v>436</v>
      </c>
      <c r="D47" s="293" t="s">
        <v>414</v>
      </c>
      <c r="E47" s="293" t="s">
        <v>437</v>
      </c>
    </row>
    <row r="48" spans="1:9" ht="28.8" x14ac:dyDescent="0.3">
      <c r="B48" s="295" t="s">
        <v>367</v>
      </c>
      <c r="C48" s="285" t="s">
        <v>42</v>
      </c>
      <c r="D48" s="118" t="s">
        <v>455</v>
      </c>
      <c r="E48" s="119" t="s">
        <v>458</v>
      </c>
    </row>
    <row r="49" spans="1:9" s="117" customFormat="1" ht="28.8" x14ac:dyDescent="0.3">
      <c r="B49" s="140" t="s">
        <v>362</v>
      </c>
      <c r="C49" s="286" t="s">
        <v>42</v>
      </c>
      <c r="D49" s="118" t="s">
        <v>455</v>
      </c>
      <c r="E49" s="119" t="s">
        <v>458</v>
      </c>
      <c r="I49" s="119"/>
    </row>
    <row r="50" spans="1:9" s="117" customFormat="1" ht="28.8" x14ac:dyDescent="0.3">
      <c r="B50" s="295" t="s">
        <v>368</v>
      </c>
      <c r="C50" s="285" t="s">
        <v>42</v>
      </c>
      <c r="D50" s="118" t="s">
        <v>455</v>
      </c>
      <c r="E50" s="119" t="s">
        <v>458</v>
      </c>
      <c r="I50" s="119"/>
    </row>
    <row r="51" spans="1:9" s="117" customFormat="1" ht="28.8" x14ac:dyDescent="0.3">
      <c r="B51" s="296" t="s">
        <v>369</v>
      </c>
      <c r="C51" s="286" t="s">
        <v>42</v>
      </c>
      <c r="D51" s="118" t="s">
        <v>455</v>
      </c>
      <c r="E51" s="119" t="s">
        <v>458</v>
      </c>
      <c r="I51" s="119"/>
    </row>
    <row r="52" spans="1:9" s="117" customFormat="1" ht="28.8" x14ac:dyDescent="0.3">
      <c r="B52" s="295" t="s">
        <v>370</v>
      </c>
      <c r="C52" s="285" t="s">
        <v>42</v>
      </c>
      <c r="D52" s="118" t="s">
        <v>455</v>
      </c>
      <c r="E52" s="119" t="s">
        <v>458</v>
      </c>
      <c r="I52" s="119"/>
    </row>
    <row r="53" spans="1:9" s="117" customFormat="1" ht="28.8" x14ac:dyDescent="0.3">
      <c r="B53" s="297" t="s">
        <v>360</v>
      </c>
      <c r="C53" s="290" t="s">
        <v>422</v>
      </c>
      <c r="D53" s="118" t="s">
        <v>455</v>
      </c>
      <c r="E53" s="119" t="s">
        <v>456</v>
      </c>
      <c r="I53" s="119"/>
    </row>
    <row r="54" spans="1:9" s="117" customFormat="1" ht="28.8" x14ac:dyDescent="0.3">
      <c r="B54" s="298" t="s">
        <v>360</v>
      </c>
      <c r="C54" s="289" t="s">
        <v>423</v>
      </c>
      <c r="D54" s="118" t="s">
        <v>455</v>
      </c>
      <c r="E54" s="119" t="s">
        <v>456</v>
      </c>
      <c r="I54" s="119"/>
    </row>
    <row r="55" spans="1:9" s="117" customFormat="1" ht="28.8" x14ac:dyDescent="0.3">
      <c r="B55" s="299" t="s">
        <v>367</v>
      </c>
      <c r="C55" s="294" t="s">
        <v>46</v>
      </c>
      <c r="D55" s="118" t="s">
        <v>457</v>
      </c>
      <c r="E55" s="119" t="s">
        <v>456</v>
      </c>
      <c r="I55" s="119"/>
    </row>
    <row r="56" spans="1:9" s="117" customFormat="1" x14ac:dyDescent="0.3">
      <c r="E56" s="119"/>
      <c r="I56" s="119"/>
    </row>
    <row r="57" spans="1:9" s="117" customFormat="1" x14ac:dyDescent="0.3">
      <c r="E57" s="119"/>
      <c r="I57" s="119"/>
    </row>
    <row r="58" spans="1:9" x14ac:dyDescent="0.3">
      <c r="A58" s="11" t="s">
        <v>431</v>
      </c>
      <c r="B58" s="117"/>
      <c r="C58" s="117"/>
    </row>
    <row r="59" spans="1:9" x14ac:dyDescent="0.3">
      <c r="A59" s="117"/>
      <c r="B59" s="117"/>
      <c r="C59" s="117"/>
    </row>
    <row r="60" spans="1:9" x14ac:dyDescent="0.3">
      <c r="A60" s="117"/>
      <c r="B60" s="291" t="s">
        <v>412</v>
      </c>
      <c r="C60" s="291" t="s">
        <v>464</v>
      </c>
    </row>
    <row r="61" spans="1:9" x14ac:dyDescent="0.3">
      <c r="A61" s="117"/>
      <c r="B61" s="291" t="s">
        <v>433</v>
      </c>
      <c r="C61" s="389">
        <v>0.06</v>
      </c>
      <c r="D61" s="377"/>
    </row>
    <row r="62" spans="1:9" x14ac:dyDescent="0.3">
      <c r="B62" s="117" t="s">
        <v>434</v>
      </c>
      <c r="C62" s="291">
        <v>0.1</v>
      </c>
    </row>
    <row r="64" spans="1:9" x14ac:dyDescent="0.3">
      <c r="A64" s="11" t="s">
        <v>450</v>
      </c>
    </row>
    <row r="65" spans="1:9" s="117" customFormat="1" x14ac:dyDescent="0.3">
      <c r="A65" s="11"/>
      <c r="E65" s="119"/>
      <c r="I65" s="119"/>
    </row>
    <row r="66" spans="1:9" x14ac:dyDescent="0.3">
      <c r="B66" t="s">
        <v>412</v>
      </c>
      <c r="C66" t="s">
        <v>51</v>
      </c>
      <c r="D66" t="s">
        <v>52</v>
      </c>
      <c r="E66" s="119" t="s">
        <v>449</v>
      </c>
    </row>
    <row r="67" spans="1:9" x14ac:dyDescent="0.3">
      <c r="B67" t="s">
        <v>442</v>
      </c>
      <c r="C67" s="119">
        <f>204816186</f>
        <v>204816186</v>
      </c>
      <c r="D67" s="119">
        <v>183694485</v>
      </c>
      <c r="E67" s="119">
        <f>SUM(C67:D67)</f>
        <v>388510671</v>
      </c>
    </row>
    <row r="68" spans="1:9" x14ac:dyDescent="0.3">
      <c r="B68" t="s">
        <v>443</v>
      </c>
      <c r="C68">
        <v>0</v>
      </c>
      <c r="D68" s="152">
        <v>8761407</v>
      </c>
      <c r="E68" s="119">
        <f t="shared" ref="E68:E74" si="0">SUM(C68:D68)</f>
        <v>8761407</v>
      </c>
    </row>
    <row r="69" spans="1:9" x14ac:dyDescent="0.3">
      <c r="B69" t="s">
        <v>444</v>
      </c>
      <c r="C69">
        <v>0</v>
      </c>
      <c r="D69" s="119">
        <v>31645069</v>
      </c>
      <c r="E69" s="119">
        <f t="shared" si="0"/>
        <v>31645069</v>
      </c>
    </row>
    <row r="70" spans="1:9" x14ac:dyDescent="0.3">
      <c r="B70" t="s">
        <v>445</v>
      </c>
      <c r="C70" s="119">
        <v>80696538</v>
      </c>
      <c r="D70" s="152">
        <v>70421380</v>
      </c>
      <c r="E70" s="119">
        <f t="shared" si="0"/>
        <v>151117918</v>
      </c>
    </row>
    <row r="71" spans="1:9" x14ac:dyDescent="0.3">
      <c r="B71" t="s">
        <v>446</v>
      </c>
      <c r="C71" s="119">
        <v>1335654</v>
      </c>
      <c r="D71" s="152">
        <v>9628754</v>
      </c>
      <c r="E71" s="119">
        <f t="shared" si="0"/>
        <v>10964408</v>
      </c>
    </row>
    <row r="72" spans="1:9" ht="28.8" x14ac:dyDescent="0.3">
      <c r="B72" s="118" t="s">
        <v>447</v>
      </c>
      <c r="C72" s="119">
        <v>7321466</v>
      </c>
      <c r="D72" s="152">
        <v>8183620</v>
      </c>
      <c r="E72" s="119">
        <f t="shared" si="0"/>
        <v>15505086</v>
      </c>
    </row>
    <row r="73" spans="1:9" ht="28.8" x14ac:dyDescent="0.3">
      <c r="B73" s="388" t="s">
        <v>448</v>
      </c>
      <c r="C73" s="119">
        <v>48433893</v>
      </c>
      <c r="D73" s="152">
        <v>48173878</v>
      </c>
      <c r="E73" s="119">
        <f t="shared" si="0"/>
        <v>96607771</v>
      </c>
    </row>
    <row r="74" spans="1:9" x14ac:dyDescent="0.3">
      <c r="B74" s="11" t="s">
        <v>438</v>
      </c>
      <c r="C74" s="119">
        <f>SUM(C67:C73)</f>
        <v>342603737</v>
      </c>
      <c r="D74" s="119">
        <f>SUM(D67:D73)</f>
        <v>360508593</v>
      </c>
      <c r="E74" s="119">
        <f t="shared" si="0"/>
        <v>703112330</v>
      </c>
    </row>
    <row r="77" spans="1:9" x14ac:dyDescent="0.3">
      <c r="B77" s="11" t="s">
        <v>451</v>
      </c>
      <c r="E77" s="119">
        <f>E67+E68+E69+E70</f>
        <v>580035065</v>
      </c>
    </row>
    <row r="78" spans="1:9" ht="28.8" x14ac:dyDescent="0.3">
      <c r="B78" s="345" t="s">
        <v>452</v>
      </c>
      <c r="E78" s="119">
        <f>E77+E72</f>
        <v>595540151</v>
      </c>
    </row>
    <row r="79" spans="1:9" x14ac:dyDescent="0.3">
      <c r="B79" s="11" t="s">
        <v>469</v>
      </c>
      <c r="E79" s="119">
        <f>E74</f>
        <v>703112330</v>
      </c>
    </row>
  </sheetData>
  <pageMargins left="0.7" right="0.7" top="0.75" bottom="0.75" header="0.3" footer="0.3"/>
  <pageSetup paperSize="9" orientation="portrait" r:id="rId1"/>
  <ignoredErrors>
    <ignoredError sqref="E4 E6:E12" calculatedColumn="1"/>
  </ignoredErrors>
  <legacyDrawing r:id="rId2"/>
  <tableParts count="6">
    <tablePart r:id="rId3"/>
    <tablePart r:id="rId4"/>
    <tablePart r:id="rId5"/>
    <tablePart r:id="rId6"/>
    <tablePart r:id="rId7"/>
    <tablePart r:id="rId8"/>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A1:BF74"/>
  <sheetViews>
    <sheetView zoomScale="80" zoomScaleNormal="80" workbookViewId="0">
      <pane xSplit="1" ySplit="4" topLeftCell="W29" activePane="bottomRight" state="frozen"/>
      <selection activeCell="K4" sqref="K4"/>
      <selection pane="topRight" activeCell="K4" sqref="K4"/>
      <selection pane="bottomLeft" activeCell="K4" sqref="K4"/>
      <selection pane="bottomRight" activeCell="AE29" sqref="AE29"/>
    </sheetView>
  </sheetViews>
  <sheetFormatPr defaultRowHeight="14.4" x14ac:dyDescent="0.3"/>
  <cols>
    <col min="2" max="2" width="36.5546875" customWidth="1"/>
    <col min="3" max="3" width="10" customWidth="1"/>
    <col min="4" max="4" width="12.44140625" customWidth="1"/>
    <col min="5" max="5" width="17.109375" customWidth="1"/>
    <col min="6" max="6" width="17.88671875" customWidth="1"/>
    <col min="7" max="7" width="14" customWidth="1"/>
    <col min="8" max="8" width="19.5546875" customWidth="1"/>
    <col min="9" max="9" width="20" customWidth="1"/>
    <col min="10" max="10" width="11" customWidth="1"/>
    <col min="11" max="11" width="37" customWidth="1"/>
    <col min="12" max="12" width="42.5546875" customWidth="1"/>
    <col min="13" max="13" width="35" customWidth="1"/>
    <col min="14" max="14" width="22.6640625" customWidth="1"/>
    <col min="15" max="15" width="35.44140625" bestFit="1" customWidth="1"/>
    <col min="16" max="16" width="12.5546875" customWidth="1"/>
    <col min="17" max="19" width="19.6640625" customWidth="1"/>
    <col min="20" max="20" width="53.5546875" customWidth="1"/>
    <col min="21" max="21" width="19.33203125" customWidth="1"/>
    <col min="22" max="23" width="19.109375" customWidth="1"/>
    <col min="24" max="24" width="21.88671875" style="117" bestFit="1" customWidth="1"/>
    <col min="25" max="25" width="19.109375" style="117" customWidth="1"/>
    <col min="26" max="26" width="18.88671875" style="154" customWidth="1"/>
    <col min="27" max="27" width="17" customWidth="1"/>
    <col min="28" max="28" width="19.44140625" customWidth="1"/>
    <col min="29" max="30" width="19.44140625" style="117" customWidth="1"/>
    <col min="31" max="31" width="23" customWidth="1"/>
    <col min="32" max="32" width="18" customWidth="1"/>
    <col min="33" max="33" width="20.44140625" customWidth="1"/>
    <col min="34" max="34" width="21.88671875" style="117" bestFit="1" customWidth="1"/>
    <col min="35" max="35" width="20.44140625" style="117" customWidth="1"/>
    <col min="36" max="36" width="18.33203125" customWidth="1"/>
    <col min="37" max="37" width="18.88671875" customWidth="1"/>
    <col min="38" max="38" width="23.109375" customWidth="1"/>
    <col min="39" max="39" width="21.6640625" customWidth="1"/>
    <col min="40" max="40" width="13.44140625" customWidth="1"/>
    <col min="41" max="41" width="21.88671875" style="117" bestFit="1" customWidth="1"/>
    <col min="42" max="42" width="13.44140625" style="117" customWidth="1"/>
    <col min="43" max="43" width="18.109375" customWidth="1"/>
    <col min="44" max="44" width="20.44140625" customWidth="1"/>
    <col min="45" max="45" width="21.88671875" style="117" bestFit="1" customWidth="1"/>
    <col min="46" max="46" width="13.33203125" style="117" bestFit="1" customWidth="1"/>
    <col min="47" max="47" width="23.6640625" customWidth="1"/>
    <col min="48" max="48" width="27.109375" customWidth="1"/>
    <col min="49" max="49" width="35" customWidth="1"/>
    <col min="50" max="50" width="35" style="117" customWidth="1"/>
    <col min="51" max="51" width="21.88671875" style="117" bestFit="1" customWidth="1"/>
    <col min="52" max="52" width="13.33203125" style="117" bestFit="1" customWidth="1"/>
    <col min="53" max="53" width="21.6640625" customWidth="1"/>
    <col min="54" max="54" width="26.44140625" customWidth="1"/>
    <col min="55" max="55" width="36.33203125" customWidth="1"/>
    <col min="56" max="56" width="27.33203125" customWidth="1"/>
    <col min="57" max="57" width="36.6640625" customWidth="1"/>
    <col min="58" max="58" width="18.33203125" customWidth="1"/>
  </cols>
  <sheetData>
    <row r="1" spans="1:58" s="117" customFormat="1" x14ac:dyDescent="0.3">
      <c r="A1" s="4" t="s">
        <v>16</v>
      </c>
      <c r="S1" s="138"/>
      <c r="T1" s="29"/>
      <c r="Z1" s="154"/>
      <c r="AV1" s="119"/>
    </row>
    <row r="2" spans="1:58" s="117" customFormat="1" x14ac:dyDescent="0.3">
      <c r="A2" s="4"/>
      <c r="K2" s="141" t="s">
        <v>282</v>
      </c>
      <c r="L2" s="141" t="s">
        <v>282</v>
      </c>
      <c r="M2" s="141" t="s">
        <v>282</v>
      </c>
      <c r="N2" s="141" t="s">
        <v>282</v>
      </c>
      <c r="O2" s="141"/>
      <c r="P2" s="141" t="s">
        <v>282</v>
      </c>
      <c r="Q2" s="141" t="s">
        <v>282</v>
      </c>
      <c r="R2" s="141" t="s">
        <v>282</v>
      </c>
      <c r="S2" s="141" t="s">
        <v>282</v>
      </c>
      <c r="T2" s="141" t="s">
        <v>282</v>
      </c>
      <c r="U2" s="141" t="s">
        <v>282</v>
      </c>
      <c r="V2" s="141" t="s">
        <v>282</v>
      </c>
      <c r="W2" s="141" t="s">
        <v>282</v>
      </c>
      <c r="X2" s="141"/>
      <c r="Y2" s="141"/>
      <c r="Z2" s="155" t="s">
        <v>282</v>
      </c>
      <c r="AA2" s="141" t="s">
        <v>282</v>
      </c>
      <c r="AB2" s="141" t="s">
        <v>282</v>
      </c>
      <c r="AC2" s="141"/>
      <c r="AD2" s="141"/>
      <c r="AE2" s="141" t="s">
        <v>282</v>
      </c>
      <c r="AF2" s="141" t="s">
        <v>282</v>
      </c>
      <c r="AG2" s="141" t="s">
        <v>282</v>
      </c>
      <c r="AH2" s="141"/>
      <c r="AI2" s="141"/>
      <c r="AJ2" s="141" t="s">
        <v>282</v>
      </c>
      <c r="AK2" s="141" t="s">
        <v>282</v>
      </c>
      <c r="AL2" s="141" t="s">
        <v>282</v>
      </c>
      <c r="AM2" s="141" t="s">
        <v>282</v>
      </c>
      <c r="AN2" s="141" t="s">
        <v>282</v>
      </c>
      <c r="AO2" s="141"/>
      <c r="AP2" s="141"/>
      <c r="AQ2" s="141" t="s">
        <v>282</v>
      </c>
      <c r="AR2" s="141" t="s">
        <v>282</v>
      </c>
      <c r="AS2" s="141"/>
      <c r="AT2" s="141"/>
      <c r="AU2" s="141" t="s">
        <v>282</v>
      </c>
      <c r="AV2" s="141" t="s">
        <v>282</v>
      </c>
      <c r="AW2" s="141" t="s">
        <v>282</v>
      </c>
      <c r="AX2" s="141"/>
      <c r="AY2" s="141"/>
      <c r="AZ2" s="141"/>
      <c r="BA2" s="141" t="s">
        <v>282</v>
      </c>
      <c r="BB2" s="141" t="s">
        <v>282</v>
      </c>
      <c r="BC2" s="141" t="s">
        <v>282</v>
      </c>
      <c r="BD2" s="141" t="s">
        <v>282</v>
      </c>
      <c r="BE2" s="141" t="s">
        <v>282</v>
      </c>
      <c r="BF2" s="141" t="s">
        <v>282</v>
      </c>
    </row>
    <row r="3" spans="1:58" s="117" customFormat="1" x14ac:dyDescent="0.3">
      <c r="A3" s="120" t="s">
        <v>15</v>
      </c>
      <c r="B3" s="396" t="s">
        <v>25</v>
      </c>
      <c r="C3" s="396"/>
      <c r="D3" s="396"/>
      <c r="E3" s="396"/>
      <c r="F3" s="396"/>
      <c r="G3" s="396"/>
      <c r="H3" s="396"/>
      <c r="I3" s="396"/>
      <c r="J3" s="396"/>
      <c r="K3" s="397" t="s">
        <v>26</v>
      </c>
      <c r="L3" s="397"/>
      <c r="M3" s="397"/>
      <c r="N3" s="397"/>
      <c r="O3" s="397"/>
      <c r="P3" s="397"/>
      <c r="Q3" s="397"/>
      <c r="R3" s="397"/>
      <c r="S3" s="397"/>
      <c r="T3" s="396" t="s">
        <v>27</v>
      </c>
      <c r="U3" s="396"/>
      <c r="V3" s="396"/>
      <c r="W3" s="396"/>
      <c r="X3" s="396"/>
      <c r="Y3" s="396"/>
      <c r="Z3" s="396"/>
      <c r="AA3" s="397" t="s">
        <v>28</v>
      </c>
      <c r="AB3" s="397"/>
      <c r="AC3" s="397"/>
      <c r="AD3" s="397"/>
      <c r="AE3" s="397"/>
      <c r="AF3" s="396" t="s">
        <v>29</v>
      </c>
      <c r="AG3" s="396"/>
      <c r="AH3" s="396"/>
      <c r="AI3" s="396"/>
      <c r="AJ3" s="396"/>
      <c r="AK3" s="397" t="s">
        <v>43</v>
      </c>
      <c r="AL3" s="397"/>
      <c r="AM3" s="397"/>
      <c r="AN3" s="397"/>
      <c r="AO3" s="397"/>
      <c r="AP3" s="397"/>
      <c r="AQ3" s="397"/>
      <c r="AR3" s="396" t="s">
        <v>30</v>
      </c>
      <c r="AS3" s="396"/>
      <c r="AT3" s="396"/>
      <c r="AU3" s="396"/>
      <c r="AV3" s="397" t="s">
        <v>31</v>
      </c>
      <c r="AW3" s="397"/>
      <c r="AX3" s="397"/>
      <c r="AY3" s="397"/>
      <c r="AZ3" s="397"/>
      <c r="BA3" s="397"/>
      <c r="BB3" s="396" t="s">
        <v>32</v>
      </c>
      <c r="BC3" s="396"/>
      <c r="BD3" s="396"/>
      <c r="BE3" s="396"/>
      <c r="BF3" s="396"/>
    </row>
    <row r="4" spans="1:58" s="118" customFormat="1" x14ac:dyDescent="0.3">
      <c r="A4" s="121" t="s">
        <v>15</v>
      </c>
      <c r="B4" s="123" t="s">
        <v>258</v>
      </c>
      <c r="C4" s="123" t="s">
        <v>259</v>
      </c>
      <c r="D4" s="123" t="s">
        <v>269</v>
      </c>
      <c r="E4" s="123" t="s">
        <v>270</v>
      </c>
      <c r="F4" s="123" t="s">
        <v>271</v>
      </c>
      <c r="G4" s="123" t="s">
        <v>272</v>
      </c>
      <c r="H4" s="123" t="s">
        <v>273</v>
      </c>
      <c r="I4" s="123" t="s">
        <v>274</v>
      </c>
      <c r="J4" s="123" t="s">
        <v>275</v>
      </c>
      <c r="K4" s="123" t="s">
        <v>260</v>
      </c>
      <c r="L4" s="123" t="s">
        <v>5</v>
      </c>
      <c r="M4" s="123" t="s">
        <v>6</v>
      </c>
      <c r="N4" s="123" t="s">
        <v>7</v>
      </c>
      <c r="O4" s="169" t="s">
        <v>291</v>
      </c>
      <c r="P4" s="123" t="s">
        <v>36</v>
      </c>
      <c r="Q4" s="123" t="s">
        <v>37</v>
      </c>
      <c r="R4" s="153" t="s">
        <v>279</v>
      </c>
      <c r="S4" s="139" t="s">
        <v>261</v>
      </c>
      <c r="T4" s="123" t="s">
        <v>33</v>
      </c>
      <c r="U4" s="123" t="s">
        <v>47</v>
      </c>
      <c r="V4" s="123" t="s">
        <v>48</v>
      </c>
      <c r="W4" s="123" t="s">
        <v>49</v>
      </c>
      <c r="X4" s="169" t="s">
        <v>293</v>
      </c>
      <c r="Y4" s="153" t="s">
        <v>292</v>
      </c>
      <c r="Z4" s="156" t="s">
        <v>262</v>
      </c>
      <c r="AA4" s="123" t="s">
        <v>12</v>
      </c>
      <c r="AB4" s="123" t="s">
        <v>13</v>
      </c>
      <c r="AC4" s="169" t="s">
        <v>302</v>
      </c>
      <c r="AD4" s="153" t="s">
        <v>297</v>
      </c>
      <c r="AE4" s="123" t="s">
        <v>263</v>
      </c>
      <c r="AF4" s="123" t="s">
        <v>276</v>
      </c>
      <c r="AG4" s="123" t="s">
        <v>277</v>
      </c>
      <c r="AH4" s="169" t="s">
        <v>303</v>
      </c>
      <c r="AI4" s="153" t="s">
        <v>298</v>
      </c>
      <c r="AJ4" s="123" t="s">
        <v>264</v>
      </c>
      <c r="AK4" s="123" t="s">
        <v>20</v>
      </c>
      <c r="AL4" s="123" t="s">
        <v>17</v>
      </c>
      <c r="AM4" s="123" t="s">
        <v>18</v>
      </c>
      <c r="AN4" s="123" t="s">
        <v>19</v>
      </c>
      <c r="AO4" s="169" t="s">
        <v>304</v>
      </c>
      <c r="AP4" s="153" t="s">
        <v>299</v>
      </c>
      <c r="AQ4" s="123" t="s">
        <v>265</v>
      </c>
      <c r="AR4" s="123" t="s">
        <v>278</v>
      </c>
      <c r="AS4" s="169" t="s">
        <v>305</v>
      </c>
      <c r="AT4" s="153" t="s">
        <v>300</v>
      </c>
      <c r="AU4" s="123" t="s">
        <v>266</v>
      </c>
      <c r="AV4" s="123" t="s">
        <v>21</v>
      </c>
      <c r="AW4" s="123" t="s">
        <v>22</v>
      </c>
      <c r="AX4" s="123" t="s">
        <v>354</v>
      </c>
      <c r="AY4" s="169" t="s">
        <v>306</v>
      </c>
      <c r="AZ4" s="153" t="s">
        <v>301</v>
      </c>
      <c r="BA4" s="123" t="s">
        <v>267</v>
      </c>
      <c r="BB4" s="123" t="s">
        <v>23</v>
      </c>
      <c r="BC4" s="123" t="s">
        <v>99</v>
      </c>
      <c r="BD4" s="123" t="s">
        <v>24</v>
      </c>
      <c r="BE4" s="123" t="s">
        <v>100</v>
      </c>
      <c r="BF4" s="123" t="s">
        <v>268</v>
      </c>
    </row>
    <row r="5" spans="1:58" s="117" customFormat="1" x14ac:dyDescent="0.3">
      <c r="A5" s="3">
        <v>1</v>
      </c>
      <c r="B5" s="33" t="s">
        <v>127</v>
      </c>
      <c r="C5" s="68" t="s">
        <v>74</v>
      </c>
      <c r="D5" s="95" t="s">
        <v>77</v>
      </c>
      <c r="E5" s="95" t="s">
        <v>71</v>
      </c>
      <c r="F5" s="68" t="s">
        <v>79</v>
      </c>
      <c r="G5" s="68" t="s">
        <v>82</v>
      </c>
      <c r="H5" s="98" t="s">
        <v>163</v>
      </c>
      <c r="I5" s="68" t="s">
        <v>15</v>
      </c>
      <c r="J5" s="68">
        <v>2</v>
      </c>
      <c r="K5" s="38">
        <v>564000</v>
      </c>
      <c r="L5" s="38">
        <v>257000</v>
      </c>
      <c r="M5" s="39">
        <v>78000</v>
      </c>
      <c r="N5" s="41">
        <v>65500</v>
      </c>
      <c r="O5" s="41">
        <f>(FarmerOUTCOMES[[#This Row],[1- Current revenue from fruits and veg]]-FarmerOUTCOMES[[#This Row],[Current costs of production for fruits and veg]])-(FarmerOUTCOMES[[#This Row],[Previous revenue from fruit and veg]]-FarmerOUTCOMES[[#This Row],[Previous cost of production for fruits andveg]])*(1-FarmerOUTCOMES[[#This Row],[1-CF factor]])</f>
        <v>294500</v>
      </c>
      <c r="P5" s="68" t="s">
        <v>126</v>
      </c>
      <c r="Q5" s="68" t="s">
        <v>15</v>
      </c>
      <c r="R5" s="68">
        <f>VLOOKUP(FarmerOUTCOMES[[#This Row],[DI-Group/Location]], CFfarmer1[],3,FALSE)</f>
        <v>0</v>
      </c>
      <c r="S5" t="s">
        <v>181</v>
      </c>
      <c r="T5" s="86" t="s">
        <v>182</v>
      </c>
      <c r="U5" s="50">
        <v>100000</v>
      </c>
      <c r="V5" s="51">
        <v>10000</v>
      </c>
      <c r="W5" s="68">
        <v>0</v>
      </c>
      <c r="X5" s="68">
        <f>SUM(FarmerOUTCOMES[[#This Row],[Value of benefit A]:[Value of benefit C]])*(1-FarmerOUTCOMES[[#This Row],[2-CF Factor]])</f>
        <v>110000</v>
      </c>
      <c r="Y5" s="68">
        <f>VLOOKUP(FarmerOUTCOMES[[#This Row],[DI-Group/Location]],CFfarmer2[],3,FALSE)</f>
        <v>0</v>
      </c>
      <c r="Z5" s="157" t="s">
        <v>183</v>
      </c>
      <c r="AA5" s="41">
        <v>0</v>
      </c>
      <c r="AB5" s="41">
        <v>8000</v>
      </c>
      <c r="AC5" s="41"/>
      <c r="AD5" s="87">
        <f>VLOOKUP(FarmerOUTCOMES[[#This Row],[DI-Group/Location]],CFfarmer3[],3,FALSE)</f>
        <v>0</v>
      </c>
      <c r="AE5" s="99" t="s">
        <v>184</v>
      </c>
      <c r="AF5" s="41">
        <v>0</v>
      </c>
      <c r="AG5" s="151">
        <v>2500</v>
      </c>
      <c r="AH5" s="41"/>
      <c r="AI5" s="87">
        <v>0</v>
      </c>
      <c r="AJ5" s="99" t="s">
        <v>184</v>
      </c>
      <c r="AK5" s="68">
        <v>0</v>
      </c>
      <c r="AL5" s="68">
        <v>0</v>
      </c>
      <c r="AM5" s="68">
        <v>0</v>
      </c>
      <c r="AN5" s="68">
        <v>0</v>
      </c>
      <c r="AO5" s="68"/>
      <c r="AP5" s="52">
        <v>0</v>
      </c>
      <c r="AQ5" s="99" t="s">
        <v>185</v>
      </c>
      <c r="AR5" s="179">
        <v>5000</v>
      </c>
      <c r="AS5" s="50"/>
      <c r="AT5" s="50">
        <v>0</v>
      </c>
      <c r="AU5" s="99" t="s">
        <v>186</v>
      </c>
      <c r="AV5" s="88">
        <v>420000</v>
      </c>
      <c r="AW5" s="68">
        <v>200000</v>
      </c>
      <c r="AX5" s="271">
        <f>IF(FarmerOUTCOMES[[#This Row],[Discretionary expenditure  ]]&lt;&gt;0,FarmerOUTCOMES[[#This Row],[Willingness to accept compensation]]/FarmerOUTCOMES[[#This Row],[Discretionary expenditure  ]],0)</f>
        <v>0.47619047619047616</v>
      </c>
      <c r="AY5" s="68"/>
      <c r="AZ5" s="68">
        <v>0</v>
      </c>
      <c r="BA5" s="87" t="s">
        <v>82</v>
      </c>
      <c r="BB5" s="93" t="s">
        <v>82</v>
      </c>
      <c r="BC5" s="93" t="s">
        <v>82</v>
      </c>
      <c r="BD5" s="93" t="s">
        <v>82</v>
      </c>
      <c r="BE5" s="93" t="s">
        <v>82</v>
      </c>
      <c r="BF5" s="93" t="s">
        <v>82</v>
      </c>
    </row>
    <row r="6" spans="1:58" s="117" customFormat="1" x14ac:dyDescent="0.3">
      <c r="A6" s="3">
        <v>2</v>
      </c>
      <c r="B6" s="34" t="s">
        <v>128</v>
      </c>
      <c r="C6" s="68" t="s">
        <v>74</v>
      </c>
      <c r="D6" s="95" t="s">
        <v>76</v>
      </c>
      <c r="E6" s="95" t="s">
        <v>71</v>
      </c>
      <c r="F6" s="68" t="s">
        <v>79</v>
      </c>
      <c r="G6" s="68" t="s">
        <v>82</v>
      </c>
      <c r="H6" s="98" t="s">
        <v>163</v>
      </c>
      <c r="I6" s="68" t="s">
        <v>15</v>
      </c>
      <c r="J6" s="68">
        <v>2</v>
      </c>
      <c r="K6" s="38">
        <v>750000</v>
      </c>
      <c r="L6" s="38">
        <v>233000</v>
      </c>
      <c r="M6" s="38">
        <v>360000</v>
      </c>
      <c r="N6" s="38">
        <v>211000</v>
      </c>
      <c r="O6" s="38">
        <f>(FarmerOUTCOMES[[#This Row],[1- Current revenue from fruits and veg]]-FarmerOUTCOMES[[#This Row],[Current costs of production for fruits and veg]])-(FarmerOUTCOMES[[#This Row],[Previous revenue from fruit and veg]]-FarmerOUTCOMES[[#This Row],[Previous cost of production for fruits andveg]])*(1-FarmerOUTCOMES[[#This Row],[1-CF factor]])</f>
        <v>368000</v>
      </c>
      <c r="P6" s="68" t="s">
        <v>126</v>
      </c>
      <c r="Q6" s="68" t="s">
        <v>15</v>
      </c>
      <c r="R6" s="68">
        <f>VLOOKUP(FarmerOUTCOMES[[#This Row],[DI-Group/Location]], CFfarmer1[],3,FALSE)</f>
        <v>0</v>
      </c>
      <c r="S6" t="s">
        <v>181</v>
      </c>
      <c r="T6" s="86" t="s">
        <v>182</v>
      </c>
      <c r="U6" s="50">
        <v>400000</v>
      </c>
      <c r="V6" s="50">
        <v>70000</v>
      </c>
      <c r="W6" s="68">
        <v>0</v>
      </c>
      <c r="X6" s="68">
        <f>SUM(FarmerOUTCOMES[[#This Row],[Value of benefit A]:[Value of benefit C]])*(1-FarmerOUTCOMES[[#This Row],[2-CF Factor]])</f>
        <v>470000</v>
      </c>
      <c r="Y6" s="68">
        <f>VLOOKUP(FarmerOUTCOMES[[#This Row],[DI-Group/Location]],CFfarmer2[],3,FALSE)</f>
        <v>0</v>
      </c>
      <c r="Z6" s="157" t="s">
        <v>183</v>
      </c>
      <c r="AA6" s="41">
        <v>0</v>
      </c>
      <c r="AB6" s="41">
        <v>8000</v>
      </c>
      <c r="AC6" s="41"/>
      <c r="AD6" s="87">
        <f>VLOOKUP(FarmerOUTCOMES[[#This Row],[DI-Group/Location]],CFfarmer3[],3,FALSE)</f>
        <v>0</v>
      </c>
      <c r="AE6" s="99" t="s">
        <v>184</v>
      </c>
      <c r="AF6" s="41">
        <v>0</v>
      </c>
      <c r="AG6" s="151">
        <v>5000</v>
      </c>
      <c r="AH6" s="41"/>
      <c r="AI6" s="87">
        <v>0</v>
      </c>
      <c r="AJ6" s="99" t="s">
        <v>184</v>
      </c>
      <c r="AK6" s="68">
        <v>0</v>
      </c>
      <c r="AL6" s="68">
        <v>0</v>
      </c>
      <c r="AM6" s="68">
        <v>0</v>
      </c>
      <c r="AN6" s="68">
        <v>0</v>
      </c>
      <c r="AO6" s="68"/>
      <c r="AP6" s="52">
        <v>0</v>
      </c>
      <c r="AQ6" s="99" t="s">
        <v>185</v>
      </c>
      <c r="AR6" s="179">
        <v>5000</v>
      </c>
      <c r="AS6" s="50"/>
      <c r="AT6" s="50">
        <v>0</v>
      </c>
      <c r="AU6" s="99" t="s">
        <v>186</v>
      </c>
      <c r="AV6" s="92">
        <v>0</v>
      </c>
      <c r="AW6" s="92">
        <v>0</v>
      </c>
      <c r="AX6" s="92">
        <f>IF(FarmerOUTCOMES[[#This Row],[Discretionary expenditure  ]]&lt;&gt;0,FarmerOUTCOMES[[#This Row],[Willingness to accept compensation]]/FarmerOUTCOMES[[#This Row],[Discretionary expenditure  ]],0)</f>
        <v>0</v>
      </c>
      <c r="AY6" s="92"/>
      <c r="AZ6" s="68">
        <v>0</v>
      </c>
      <c r="BA6" s="87" t="s">
        <v>82</v>
      </c>
      <c r="BB6" s="93" t="s">
        <v>82</v>
      </c>
      <c r="BC6" s="93" t="s">
        <v>82</v>
      </c>
      <c r="BD6" s="93" t="s">
        <v>82</v>
      </c>
      <c r="BE6" s="93" t="s">
        <v>82</v>
      </c>
      <c r="BF6" s="93" t="s">
        <v>82</v>
      </c>
    </row>
    <row r="7" spans="1:58" s="117" customFormat="1" x14ac:dyDescent="0.3">
      <c r="A7" s="3">
        <v>3</v>
      </c>
      <c r="B7" s="34" t="s">
        <v>129</v>
      </c>
      <c r="C7" s="68" t="s">
        <v>74</v>
      </c>
      <c r="D7" s="95" t="s">
        <v>76</v>
      </c>
      <c r="E7" s="95" t="s">
        <v>71</v>
      </c>
      <c r="F7" s="68" t="s">
        <v>79</v>
      </c>
      <c r="G7" s="68" t="s">
        <v>82</v>
      </c>
      <c r="H7" s="98" t="s">
        <v>163</v>
      </c>
      <c r="I7" s="68" t="s">
        <v>15</v>
      </c>
      <c r="J7" s="68">
        <v>2</v>
      </c>
      <c r="K7" s="38">
        <v>250000</v>
      </c>
      <c r="L7" s="38">
        <v>102000</v>
      </c>
      <c r="M7" s="38">
        <v>120000</v>
      </c>
      <c r="N7" s="38">
        <v>135000</v>
      </c>
      <c r="O7" s="38">
        <f>(FarmerOUTCOMES[[#This Row],[1- Current revenue from fruits and veg]]-FarmerOUTCOMES[[#This Row],[Current costs of production for fruits and veg]])-(FarmerOUTCOMES[[#This Row],[Previous revenue from fruit and veg]]-FarmerOUTCOMES[[#This Row],[Previous cost of production for fruits andveg]])*(1-FarmerOUTCOMES[[#This Row],[1-CF factor]])</f>
        <v>163000</v>
      </c>
      <c r="P7" s="52" t="s">
        <v>126</v>
      </c>
      <c r="Q7" s="68" t="s">
        <v>15</v>
      </c>
      <c r="R7" s="68">
        <f>VLOOKUP(FarmerOUTCOMES[[#This Row],[DI-Group/Location]], CFfarmer1[],3,FALSE)</f>
        <v>0</v>
      </c>
      <c r="S7" t="s">
        <v>181</v>
      </c>
      <c r="T7" s="86" t="s">
        <v>182</v>
      </c>
      <c r="U7" s="50">
        <v>400000</v>
      </c>
      <c r="V7" s="51">
        <v>7500</v>
      </c>
      <c r="W7" s="68">
        <v>0</v>
      </c>
      <c r="X7" s="68">
        <f>SUM(FarmerOUTCOMES[[#This Row],[Value of benefit A]:[Value of benefit C]])*(1-FarmerOUTCOMES[[#This Row],[2-CF Factor]])</f>
        <v>407500</v>
      </c>
      <c r="Y7" s="68">
        <f>VLOOKUP(FarmerOUTCOMES[[#This Row],[DI-Group/Location]],CFfarmer2[],3,FALSE)</f>
        <v>0</v>
      </c>
      <c r="Z7" s="157" t="s">
        <v>183</v>
      </c>
      <c r="AA7" s="41">
        <v>0</v>
      </c>
      <c r="AB7" s="41">
        <v>12000</v>
      </c>
      <c r="AC7" s="41"/>
      <c r="AD7" s="87">
        <f>VLOOKUP(FarmerOUTCOMES[[#This Row],[DI-Group/Location]],CFfarmer3[],3,FALSE)</f>
        <v>0</v>
      </c>
      <c r="AE7" s="99" t="s">
        <v>184</v>
      </c>
      <c r="AF7" s="41">
        <v>0</v>
      </c>
      <c r="AG7" s="151">
        <v>5000</v>
      </c>
      <c r="AH7" s="41"/>
      <c r="AI7" s="87">
        <v>0</v>
      </c>
      <c r="AJ7" s="99" t="s">
        <v>184</v>
      </c>
      <c r="AK7" s="52">
        <v>0</v>
      </c>
      <c r="AL7" s="52">
        <v>0</v>
      </c>
      <c r="AM7" s="52">
        <v>0</v>
      </c>
      <c r="AN7" s="52">
        <v>0</v>
      </c>
      <c r="AO7" s="52"/>
      <c r="AP7" s="52">
        <v>0</v>
      </c>
      <c r="AQ7" s="99" t="s">
        <v>185</v>
      </c>
      <c r="AR7" s="179">
        <v>5000</v>
      </c>
      <c r="AS7" s="50"/>
      <c r="AT7" s="50">
        <v>0</v>
      </c>
      <c r="AU7" s="99" t="s">
        <v>186</v>
      </c>
      <c r="AV7" s="92">
        <v>0</v>
      </c>
      <c r="AW7" s="92">
        <v>0</v>
      </c>
      <c r="AX7" s="92">
        <f>IF(FarmerOUTCOMES[[#This Row],[Discretionary expenditure  ]]&lt;&gt;0,FarmerOUTCOMES[[#This Row],[Willingness to accept compensation]]/FarmerOUTCOMES[[#This Row],[Discretionary expenditure  ]],0)</f>
        <v>0</v>
      </c>
      <c r="AY7" s="92"/>
      <c r="AZ7" s="68">
        <v>0</v>
      </c>
      <c r="BA7" s="87" t="s">
        <v>82</v>
      </c>
      <c r="BB7" s="93" t="s">
        <v>82</v>
      </c>
      <c r="BC7" s="93" t="s">
        <v>82</v>
      </c>
      <c r="BD7" s="93" t="s">
        <v>82</v>
      </c>
      <c r="BE7" s="93" t="s">
        <v>82</v>
      </c>
      <c r="BF7" s="93" t="s">
        <v>82</v>
      </c>
    </row>
    <row r="8" spans="1:58" s="117" customFormat="1" x14ac:dyDescent="0.3">
      <c r="A8" s="3">
        <v>4</v>
      </c>
      <c r="B8" s="19" t="s">
        <v>164</v>
      </c>
      <c r="C8" s="68" t="s">
        <v>75</v>
      </c>
      <c r="D8" s="95" t="s">
        <v>76</v>
      </c>
      <c r="E8" s="95" t="s">
        <v>71</v>
      </c>
      <c r="F8" s="68" t="s">
        <v>79</v>
      </c>
      <c r="G8" s="68" t="s">
        <v>82</v>
      </c>
      <c r="H8" s="98" t="s">
        <v>163</v>
      </c>
      <c r="I8" s="68" t="s">
        <v>15</v>
      </c>
      <c r="J8" s="68">
        <v>2</v>
      </c>
      <c r="K8" s="39">
        <v>392000</v>
      </c>
      <c r="L8" s="38">
        <v>371000</v>
      </c>
      <c r="M8" s="39">
        <v>170000</v>
      </c>
      <c r="N8" s="38">
        <v>94000</v>
      </c>
      <c r="O8" s="41">
        <f>(FarmerOUTCOMES[[#This Row],[1- Current revenue from fruits and veg]]-FarmerOUTCOMES[[#This Row],[Current costs of production for fruits and veg]])-(FarmerOUTCOMES[[#This Row],[Previous revenue from fruit and veg]]-FarmerOUTCOMES[[#This Row],[Previous cost of production for fruits andveg]])*(1-FarmerOUTCOMES[[#This Row],[1-CF factor]])</f>
        <v>-55000</v>
      </c>
      <c r="P8" s="52" t="s">
        <v>126</v>
      </c>
      <c r="Q8" s="68" t="s">
        <v>15</v>
      </c>
      <c r="R8" s="68">
        <f>VLOOKUP(FarmerOUTCOMES[[#This Row],[DI-Group/Location]], CFfarmer1[],3,FALSE)</f>
        <v>0</v>
      </c>
      <c r="S8" t="s">
        <v>181</v>
      </c>
      <c r="T8" s="86" t="s">
        <v>182</v>
      </c>
      <c r="U8" s="50">
        <v>480000</v>
      </c>
      <c r="V8" s="51">
        <v>40000</v>
      </c>
      <c r="W8" s="68">
        <v>0</v>
      </c>
      <c r="X8" s="68">
        <f>SUM(FarmerOUTCOMES[[#This Row],[Value of benefit A]:[Value of benefit C]])*(1-FarmerOUTCOMES[[#This Row],[2-CF Factor]])</f>
        <v>520000</v>
      </c>
      <c r="Y8" s="68">
        <f>VLOOKUP(FarmerOUTCOMES[[#This Row],[DI-Group/Location]],CFfarmer2[],3,FALSE)</f>
        <v>0</v>
      </c>
      <c r="Z8" s="157" t="s">
        <v>183</v>
      </c>
      <c r="AA8" s="41">
        <v>40000</v>
      </c>
      <c r="AB8" s="41">
        <v>20000</v>
      </c>
      <c r="AC8" s="41"/>
      <c r="AD8" s="87">
        <f>VLOOKUP(FarmerOUTCOMES[[#This Row],[DI-Group/Location]],CFfarmer3[],3,FALSE)</f>
        <v>0</v>
      </c>
      <c r="AE8" s="99" t="s">
        <v>184</v>
      </c>
      <c r="AF8" s="41">
        <v>0</v>
      </c>
      <c r="AG8" s="151">
        <v>2000</v>
      </c>
      <c r="AH8" s="41"/>
      <c r="AI8" s="87">
        <v>0</v>
      </c>
      <c r="AJ8" s="99" t="s">
        <v>184</v>
      </c>
      <c r="AK8" s="52">
        <v>0</v>
      </c>
      <c r="AL8" s="52">
        <v>0</v>
      </c>
      <c r="AM8" s="52">
        <v>0</v>
      </c>
      <c r="AN8" s="52">
        <v>0</v>
      </c>
      <c r="AO8" s="52"/>
      <c r="AP8" s="52">
        <v>0</v>
      </c>
      <c r="AQ8" s="99" t="s">
        <v>185</v>
      </c>
      <c r="AR8" s="179">
        <v>5000</v>
      </c>
      <c r="AS8" s="50"/>
      <c r="AT8" s="50">
        <v>0</v>
      </c>
      <c r="AU8" s="99" t="s">
        <v>186</v>
      </c>
      <c r="AV8" s="92">
        <v>0</v>
      </c>
      <c r="AW8" s="92">
        <v>0</v>
      </c>
      <c r="AX8" s="92">
        <f>IF(FarmerOUTCOMES[[#This Row],[Discretionary expenditure  ]]&lt;&gt;0,FarmerOUTCOMES[[#This Row],[Willingness to accept compensation]]/FarmerOUTCOMES[[#This Row],[Discretionary expenditure  ]],0)</f>
        <v>0</v>
      </c>
      <c r="AY8" s="92"/>
      <c r="AZ8" s="68">
        <v>0</v>
      </c>
      <c r="BA8" s="87" t="s">
        <v>82</v>
      </c>
      <c r="BB8" s="93" t="s">
        <v>82</v>
      </c>
      <c r="BC8" s="93" t="s">
        <v>82</v>
      </c>
      <c r="BD8" s="93" t="s">
        <v>82</v>
      </c>
      <c r="BE8" s="93" t="s">
        <v>82</v>
      </c>
      <c r="BF8" s="93" t="s">
        <v>82</v>
      </c>
    </row>
    <row r="9" spans="1:58" s="117" customFormat="1" x14ac:dyDescent="0.3">
      <c r="A9" s="3">
        <v>5</v>
      </c>
      <c r="B9" s="35" t="s">
        <v>161</v>
      </c>
      <c r="C9" s="68" t="s">
        <v>162</v>
      </c>
      <c r="D9" s="95" t="s">
        <v>76</v>
      </c>
      <c r="E9" s="95" t="s">
        <v>71</v>
      </c>
      <c r="F9" s="68" t="s">
        <v>79</v>
      </c>
      <c r="G9" s="68" t="s">
        <v>82</v>
      </c>
      <c r="H9" s="98" t="s">
        <v>163</v>
      </c>
      <c r="I9" s="68" t="s">
        <v>15</v>
      </c>
      <c r="J9" s="68">
        <v>2</v>
      </c>
      <c r="K9" s="39">
        <v>1985000</v>
      </c>
      <c r="L9" s="38">
        <v>815000</v>
      </c>
      <c r="M9" s="39">
        <v>550000</v>
      </c>
      <c r="N9" s="38">
        <v>385000</v>
      </c>
      <c r="O9" s="38">
        <f>(FarmerOUTCOMES[[#This Row],[1- Current revenue from fruits and veg]]-FarmerOUTCOMES[[#This Row],[Current costs of production for fruits and veg]])-(FarmerOUTCOMES[[#This Row],[Previous revenue from fruit and veg]]-FarmerOUTCOMES[[#This Row],[Previous cost of production for fruits andveg]])*(1-FarmerOUTCOMES[[#This Row],[1-CF factor]])</f>
        <v>1005000</v>
      </c>
      <c r="P9" s="52" t="s">
        <v>126</v>
      </c>
      <c r="Q9" s="68" t="s">
        <v>15</v>
      </c>
      <c r="R9" s="68">
        <f>VLOOKUP(FarmerOUTCOMES[[#This Row],[DI-Group/Location]], CFfarmer1[],3,FALSE)</f>
        <v>0</v>
      </c>
      <c r="S9" t="s">
        <v>181</v>
      </c>
      <c r="T9" s="86" t="s">
        <v>182</v>
      </c>
      <c r="U9" s="50">
        <v>300000</v>
      </c>
      <c r="V9" s="51">
        <v>135000</v>
      </c>
      <c r="W9" s="68">
        <v>0</v>
      </c>
      <c r="X9" s="68">
        <f>SUM(FarmerOUTCOMES[[#This Row],[Value of benefit A]:[Value of benefit C]])*(1-FarmerOUTCOMES[[#This Row],[2-CF Factor]])</f>
        <v>435000</v>
      </c>
      <c r="Y9" s="68">
        <f>VLOOKUP(FarmerOUTCOMES[[#This Row],[DI-Group/Location]],CFfarmer2[],3,FALSE)</f>
        <v>0</v>
      </c>
      <c r="Z9" s="157" t="s">
        <v>183</v>
      </c>
      <c r="AA9" s="41">
        <v>83500</v>
      </c>
      <c r="AB9" s="41">
        <v>40000</v>
      </c>
      <c r="AC9" s="41"/>
      <c r="AD9" s="87">
        <f>VLOOKUP(FarmerOUTCOMES[[#This Row],[DI-Group/Location]],CFfarmer3[],3,FALSE)</f>
        <v>0</v>
      </c>
      <c r="AE9" s="99" t="s">
        <v>184</v>
      </c>
      <c r="AF9" s="41">
        <v>0</v>
      </c>
      <c r="AG9" s="151">
        <v>5000</v>
      </c>
      <c r="AH9" s="41"/>
      <c r="AI9" s="87">
        <v>0</v>
      </c>
      <c r="AJ9" s="99" t="s">
        <v>184</v>
      </c>
      <c r="AK9" s="52">
        <v>0</v>
      </c>
      <c r="AL9" s="52">
        <v>0</v>
      </c>
      <c r="AM9" s="52">
        <v>0</v>
      </c>
      <c r="AN9" s="52">
        <v>0</v>
      </c>
      <c r="AO9" s="52"/>
      <c r="AP9" s="52">
        <v>0</v>
      </c>
      <c r="AQ9" s="99" t="s">
        <v>185</v>
      </c>
      <c r="AR9" s="179">
        <v>5000</v>
      </c>
      <c r="AS9" s="50"/>
      <c r="AT9" s="50">
        <v>0</v>
      </c>
      <c r="AU9" s="99" t="s">
        <v>186</v>
      </c>
      <c r="AV9" s="92">
        <v>0</v>
      </c>
      <c r="AW9" s="92">
        <v>0</v>
      </c>
      <c r="AX9" s="92">
        <f>IF(FarmerOUTCOMES[[#This Row],[Discretionary expenditure  ]]&lt;&gt;0,FarmerOUTCOMES[[#This Row],[Willingness to accept compensation]]/FarmerOUTCOMES[[#This Row],[Discretionary expenditure  ]],0)</f>
        <v>0</v>
      </c>
      <c r="AY9" s="92"/>
      <c r="AZ9" s="68">
        <v>0</v>
      </c>
      <c r="BA9" s="87" t="s">
        <v>82</v>
      </c>
      <c r="BB9" s="93" t="s">
        <v>82</v>
      </c>
      <c r="BC9" s="93" t="s">
        <v>82</v>
      </c>
      <c r="BD9" s="93" t="s">
        <v>82</v>
      </c>
      <c r="BE9" s="93" t="s">
        <v>82</v>
      </c>
      <c r="BF9" s="93" t="s">
        <v>82</v>
      </c>
    </row>
    <row r="10" spans="1:58" s="117" customFormat="1" x14ac:dyDescent="0.3">
      <c r="A10" s="3">
        <v>6</v>
      </c>
      <c r="B10" s="36" t="s">
        <v>180</v>
      </c>
      <c r="C10" s="68" t="s">
        <v>74</v>
      </c>
      <c r="D10" s="95" t="s">
        <v>76</v>
      </c>
      <c r="E10" s="95" t="s">
        <v>71</v>
      </c>
      <c r="F10" s="68" t="s">
        <v>79</v>
      </c>
      <c r="G10" s="68" t="s">
        <v>82</v>
      </c>
      <c r="H10" s="98" t="s">
        <v>163</v>
      </c>
      <c r="I10" s="68" t="s">
        <v>15</v>
      </c>
      <c r="J10" s="68">
        <v>2</v>
      </c>
      <c r="K10" s="38">
        <v>250000</v>
      </c>
      <c r="L10" s="38">
        <v>102000</v>
      </c>
      <c r="M10" s="38">
        <v>120000</v>
      </c>
      <c r="N10" s="38">
        <v>135000</v>
      </c>
      <c r="O10" s="38">
        <f>(FarmerOUTCOMES[[#This Row],[1- Current revenue from fruits and veg]]-FarmerOUTCOMES[[#This Row],[Current costs of production for fruits and veg]])-(FarmerOUTCOMES[[#This Row],[Previous revenue from fruit and veg]]-FarmerOUTCOMES[[#This Row],[Previous cost of production for fruits andveg]])*(1-FarmerOUTCOMES[[#This Row],[1-CF factor]])</f>
        <v>163000</v>
      </c>
      <c r="P10" s="52" t="s">
        <v>126</v>
      </c>
      <c r="Q10" s="68" t="s">
        <v>15</v>
      </c>
      <c r="R10" s="68">
        <f>VLOOKUP(FarmerOUTCOMES[[#This Row],[DI-Group/Location]], CFfarmer1[],3,FALSE)</f>
        <v>0</v>
      </c>
      <c r="S10" t="s">
        <v>181</v>
      </c>
      <c r="T10" s="86" t="s">
        <v>182</v>
      </c>
      <c r="U10" s="50">
        <v>400000</v>
      </c>
      <c r="V10" s="51">
        <v>7500</v>
      </c>
      <c r="W10" s="68">
        <v>0</v>
      </c>
      <c r="X10" s="68">
        <f>SUM(FarmerOUTCOMES[[#This Row],[Value of benefit A]:[Value of benefit C]])*(1-FarmerOUTCOMES[[#This Row],[2-CF Factor]])</f>
        <v>407500</v>
      </c>
      <c r="Y10" s="68">
        <f>VLOOKUP(FarmerOUTCOMES[[#This Row],[DI-Group/Location]],CFfarmer2[],3,FALSE)</f>
        <v>0</v>
      </c>
      <c r="Z10" s="157" t="s">
        <v>183</v>
      </c>
      <c r="AA10" s="41">
        <v>0</v>
      </c>
      <c r="AB10" s="41">
        <v>8000</v>
      </c>
      <c r="AC10" s="41"/>
      <c r="AD10" s="87">
        <f>VLOOKUP(FarmerOUTCOMES[[#This Row],[DI-Group/Location]],CFfarmer3[],3,FALSE)</f>
        <v>0</v>
      </c>
      <c r="AE10" s="99" t="s">
        <v>184</v>
      </c>
      <c r="AF10" s="41">
        <v>0</v>
      </c>
      <c r="AG10" s="151">
        <v>5000</v>
      </c>
      <c r="AH10" s="41"/>
      <c r="AI10" s="87">
        <v>0</v>
      </c>
      <c r="AJ10" s="99" t="s">
        <v>184</v>
      </c>
      <c r="AK10" s="52">
        <v>0</v>
      </c>
      <c r="AL10" s="52">
        <v>0</v>
      </c>
      <c r="AM10" s="52">
        <v>0</v>
      </c>
      <c r="AN10" s="52">
        <v>0</v>
      </c>
      <c r="AO10" s="52"/>
      <c r="AP10" s="52">
        <v>0</v>
      </c>
      <c r="AQ10" s="99" t="s">
        <v>185</v>
      </c>
      <c r="AR10" s="179">
        <v>5000</v>
      </c>
      <c r="AS10" s="50"/>
      <c r="AT10" s="50">
        <v>0</v>
      </c>
      <c r="AU10" s="99" t="s">
        <v>186</v>
      </c>
      <c r="AV10" s="88">
        <v>240000</v>
      </c>
      <c r="AW10" s="253">
        <v>200000</v>
      </c>
      <c r="AX10" s="278">
        <f>IF(FarmerOUTCOMES[[#This Row],[Discretionary expenditure  ]]&lt;&gt;0,FarmerOUTCOMES[[#This Row],[Willingness to accept compensation]]/FarmerOUTCOMES[[#This Row],[Discretionary expenditure  ]],0)</f>
        <v>0.83333333333333337</v>
      </c>
      <c r="AY10" s="68"/>
      <c r="AZ10" s="68">
        <v>0</v>
      </c>
      <c r="BA10" s="100" t="s">
        <v>188</v>
      </c>
      <c r="BB10" s="93" t="s">
        <v>82</v>
      </c>
      <c r="BC10" s="93" t="s">
        <v>82</v>
      </c>
      <c r="BD10" s="93" t="s">
        <v>82</v>
      </c>
      <c r="BE10" s="93" t="s">
        <v>82</v>
      </c>
      <c r="BF10" s="93" t="s">
        <v>82</v>
      </c>
    </row>
    <row r="11" spans="1:58" s="117" customFormat="1" x14ac:dyDescent="0.3">
      <c r="A11" s="3">
        <v>7</v>
      </c>
      <c r="B11" s="36" t="s">
        <v>130</v>
      </c>
      <c r="C11" s="68" t="s">
        <v>74</v>
      </c>
      <c r="D11" s="95" t="s">
        <v>76</v>
      </c>
      <c r="E11" s="95" t="s">
        <v>71</v>
      </c>
      <c r="F11" s="68" t="s">
        <v>79</v>
      </c>
      <c r="G11" s="68" t="s">
        <v>82</v>
      </c>
      <c r="H11" s="98" t="s">
        <v>163</v>
      </c>
      <c r="I11" s="68" t="s">
        <v>15</v>
      </c>
      <c r="J11" s="68">
        <v>2</v>
      </c>
      <c r="K11" s="38">
        <v>483000</v>
      </c>
      <c r="L11" s="38">
        <v>134000</v>
      </c>
      <c r="M11" s="38">
        <v>200000</v>
      </c>
      <c r="N11" s="38">
        <v>182000</v>
      </c>
      <c r="O11" s="38">
        <f>(FarmerOUTCOMES[[#This Row],[1- Current revenue from fruits and veg]]-FarmerOUTCOMES[[#This Row],[Current costs of production for fruits and veg]])-(FarmerOUTCOMES[[#This Row],[Previous revenue from fruit and veg]]-FarmerOUTCOMES[[#This Row],[Previous cost of production for fruits andveg]])*(1-FarmerOUTCOMES[[#This Row],[1-CF factor]])</f>
        <v>331000</v>
      </c>
      <c r="P11" s="52" t="s">
        <v>126</v>
      </c>
      <c r="Q11" s="68" t="s">
        <v>15</v>
      </c>
      <c r="R11" s="68">
        <f>VLOOKUP(FarmerOUTCOMES[[#This Row],[DI-Group/Location]], CFfarmer1[],3,FALSE)</f>
        <v>0</v>
      </c>
      <c r="S11" t="s">
        <v>181</v>
      </c>
      <c r="T11" s="86" t="s">
        <v>182</v>
      </c>
      <c r="U11" s="51">
        <v>450000</v>
      </c>
      <c r="V11" s="51">
        <v>15000</v>
      </c>
      <c r="W11" s="68">
        <v>0</v>
      </c>
      <c r="X11" s="68">
        <f>SUM(FarmerOUTCOMES[[#This Row],[Value of benefit A]:[Value of benefit C]])*(1-FarmerOUTCOMES[[#This Row],[2-CF Factor]])</f>
        <v>465000</v>
      </c>
      <c r="Y11" s="68">
        <f>VLOOKUP(FarmerOUTCOMES[[#This Row],[DI-Group/Location]],CFfarmer2[],3,FALSE)</f>
        <v>0</v>
      </c>
      <c r="Z11" s="157" t="s">
        <v>183</v>
      </c>
      <c r="AA11" s="41">
        <v>0</v>
      </c>
      <c r="AB11" s="41">
        <v>12000</v>
      </c>
      <c r="AC11" s="41"/>
      <c r="AD11" s="87">
        <f>VLOOKUP(FarmerOUTCOMES[[#This Row],[DI-Group/Location]],CFfarmer3[],3,FALSE)</f>
        <v>0</v>
      </c>
      <c r="AE11" s="99" t="s">
        <v>184</v>
      </c>
      <c r="AF11" s="41">
        <v>0</v>
      </c>
      <c r="AG11" s="151">
        <v>5000</v>
      </c>
      <c r="AH11" s="41"/>
      <c r="AI11" s="87">
        <v>0</v>
      </c>
      <c r="AJ11" s="99" t="s">
        <v>184</v>
      </c>
      <c r="AK11" s="52">
        <v>0</v>
      </c>
      <c r="AL11" s="52">
        <v>0</v>
      </c>
      <c r="AM11" s="52">
        <v>0</v>
      </c>
      <c r="AN11" s="52">
        <v>0</v>
      </c>
      <c r="AO11" s="52"/>
      <c r="AP11" s="52">
        <v>0</v>
      </c>
      <c r="AQ11" s="99" t="s">
        <v>185</v>
      </c>
      <c r="AR11" s="179">
        <v>5000</v>
      </c>
      <c r="AS11" s="50"/>
      <c r="AT11" s="50">
        <v>0</v>
      </c>
      <c r="AU11" s="99" t="s">
        <v>186</v>
      </c>
      <c r="AV11" s="92">
        <v>0</v>
      </c>
      <c r="AW11" s="92">
        <v>0</v>
      </c>
      <c r="AX11" s="92">
        <f>IF(FarmerOUTCOMES[[#This Row],[Discretionary expenditure  ]]&lt;&gt;0,FarmerOUTCOMES[[#This Row],[Willingness to accept compensation]]/FarmerOUTCOMES[[#This Row],[Discretionary expenditure  ]],0)</f>
        <v>0</v>
      </c>
      <c r="AY11" s="92"/>
      <c r="AZ11" s="68">
        <v>0</v>
      </c>
      <c r="BA11" s="87" t="s">
        <v>82</v>
      </c>
      <c r="BB11" s="93" t="s">
        <v>82</v>
      </c>
      <c r="BC11" s="93" t="s">
        <v>82</v>
      </c>
      <c r="BD11" s="93" t="s">
        <v>82</v>
      </c>
      <c r="BE11" s="93" t="s">
        <v>82</v>
      </c>
      <c r="BF11" s="93" t="s">
        <v>82</v>
      </c>
    </row>
    <row r="12" spans="1:58" s="117" customFormat="1" x14ac:dyDescent="0.3">
      <c r="A12" s="3">
        <v>8</v>
      </c>
      <c r="B12" s="33" t="s">
        <v>131</v>
      </c>
      <c r="C12" s="68" t="s">
        <v>74</v>
      </c>
      <c r="D12" s="95" t="s">
        <v>77</v>
      </c>
      <c r="E12" s="95" t="s">
        <v>71</v>
      </c>
      <c r="F12" s="68" t="s">
        <v>79</v>
      </c>
      <c r="G12" s="68" t="s">
        <v>82</v>
      </c>
      <c r="H12" s="98" t="s">
        <v>163</v>
      </c>
      <c r="I12" s="68" t="s">
        <v>15</v>
      </c>
      <c r="J12" s="68">
        <v>2</v>
      </c>
      <c r="K12" s="38">
        <v>4755000</v>
      </c>
      <c r="L12" s="38">
        <v>907000</v>
      </c>
      <c r="M12" s="39">
        <v>528000</v>
      </c>
      <c r="N12" s="38">
        <v>425000</v>
      </c>
      <c r="O12" s="38">
        <f>(FarmerOUTCOMES[[#This Row],[1- Current revenue from fruits and veg]]-FarmerOUTCOMES[[#This Row],[Current costs of production for fruits and veg]])-(FarmerOUTCOMES[[#This Row],[Previous revenue from fruit and veg]]-FarmerOUTCOMES[[#This Row],[Previous cost of production for fruits andveg]])*(1-FarmerOUTCOMES[[#This Row],[1-CF factor]])</f>
        <v>3745000</v>
      </c>
      <c r="P12" s="52" t="s">
        <v>126</v>
      </c>
      <c r="Q12" s="68" t="s">
        <v>15</v>
      </c>
      <c r="R12" s="68">
        <f>VLOOKUP(FarmerOUTCOMES[[#This Row],[DI-Group/Location]], CFfarmer1[],3,FALSE)</f>
        <v>0</v>
      </c>
      <c r="S12" t="s">
        <v>181</v>
      </c>
      <c r="T12" s="86" t="s">
        <v>182</v>
      </c>
      <c r="U12" s="50">
        <v>450000</v>
      </c>
      <c r="V12" s="51">
        <v>15000</v>
      </c>
      <c r="W12" s="68">
        <v>0</v>
      </c>
      <c r="X12" s="68">
        <f>SUM(FarmerOUTCOMES[[#This Row],[Value of benefit A]:[Value of benefit C]])*(1-FarmerOUTCOMES[[#This Row],[2-CF Factor]])</f>
        <v>465000</v>
      </c>
      <c r="Y12" s="68">
        <f>VLOOKUP(FarmerOUTCOMES[[#This Row],[DI-Group/Location]],CFfarmer2[],3,FALSE)</f>
        <v>0</v>
      </c>
      <c r="Z12" s="157" t="s">
        <v>183</v>
      </c>
      <c r="AA12" s="41">
        <v>0</v>
      </c>
      <c r="AB12" s="247">
        <v>80000</v>
      </c>
      <c r="AC12" s="41"/>
      <c r="AD12" s="87">
        <f>VLOOKUP(FarmerOUTCOMES[[#This Row],[DI-Group/Location]],CFfarmer3[],3,FALSE)</f>
        <v>0</v>
      </c>
      <c r="AE12" s="99" t="s">
        <v>184</v>
      </c>
      <c r="AF12" s="41">
        <v>0</v>
      </c>
      <c r="AG12" s="151">
        <v>4000</v>
      </c>
      <c r="AH12" s="41"/>
      <c r="AI12" s="87">
        <v>0</v>
      </c>
      <c r="AJ12" s="99" t="s">
        <v>184</v>
      </c>
      <c r="AK12" s="52">
        <v>0</v>
      </c>
      <c r="AL12" s="52">
        <v>0</v>
      </c>
      <c r="AM12" s="52">
        <v>0</v>
      </c>
      <c r="AN12" s="52">
        <v>0</v>
      </c>
      <c r="AO12" s="52"/>
      <c r="AP12" s="52">
        <v>0</v>
      </c>
      <c r="AQ12" s="99" t="s">
        <v>185</v>
      </c>
      <c r="AR12" s="248">
        <v>4000</v>
      </c>
      <c r="AS12" s="52"/>
      <c r="AT12" s="50">
        <v>0</v>
      </c>
      <c r="AU12" s="99" t="s">
        <v>186</v>
      </c>
      <c r="AV12" s="87">
        <v>420000</v>
      </c>
      <c r="AW12" s="52">
        <v>300000</v>
      </c>
      <c r="AX12" s="272">
        <f>IF(FarmerOUTCOMES[[#This Row],[Discretionary expenditure  ]]&lt;&gt;0,FarmerOUTCOMES[[#This Row],[Willingness to accept compensation]]/FarmerOUTCOMES[[#This Row],[Discretionary expenditure  ]],0)</f>
        <v>0.7142857142857143</v>
      </c>
      <c r="AY12" s="52"/>
      <c r="AZ12" s="68">
        <v>0</v>
      </c>
      <c r="BA12" s="99" t="s">
        <v>187</v>
      </c>
      <c r="BB12" s="93" t="s">
        <v>82</v>
      </c>
      <c r="BC12" s="93" t="s">
        <v>82</v>
      </c>
      <c r="BD12" s="93" t="s">
        <v>82</v>
      </c>
      <c r="BE12" s="93" t="s">
        <v>82</v>
      </c>
      <c r="BF12" s="93" t="s">
        <v>82</v>
      </c>
    </row>
    <row r="13" spans="1:58" s="117" customFormat="1" x14ac:dyDescent="0.3">
      <c r="A13" s="3">
        <v>9</v>
      </c>
      <c r="B13" s="12" t="s">
        <v>101</v>
      </c>
      <c r="C13" s="95" t="s">
        <v>75</v>
      </c>
      <c r="D13" s="95" t="s">
        <v>76</v>
      </c>
      <c r="E13" s="95" t="s">
        <v>71</v>
      </c>
      <c r="F13" s="95" t="s">
        <v>79</v>
      </c>
      <c r="G13" s="95" t="s">
        <v>82</v>
      </c>
      <c r="H13" s="95" t="s">
        <v>177</v>
      </c>
      <c r="I13" s="95" t="s">
        <v>79</v>
      </c>
      <c r="J13" s="95">
        <v>2</v>
      </c>
      <c r="K13" s="87">
        <v>1512800</v>
      </c>
      <c r="L13" s="87">
        <v>1027000</v>
      </c>
      <c r="M13" s="87">
        <v>843500</v>
      </c>
      <c r="N13" s="87">
        <v>598000</v>
      </c>
      <c r="O13" s="87">
        <f>(FarmerOUTCOMES[[#This Row],[1- Current revenue from fruits and veg]]-FarmerOUTCOMES[[#This Row],[Current costs of production for fruits and veg]])-(FarmerOUTCOMES[[#This Row],[Previous revenue from fruit and veg]]-FarmerOUTCOMES[[#This Row],[Previous cost of production for fruits andveg]])*(1-FarmerOUTCOMES[[#This Row],[1-CF factor]])</f>
        <v>240300</v>
      </c>
      <c r="P13" s="94" t="s">
        <v>79</v>
      </c>
      <c r="Q13" s="94" t="s">
        <v>15</v>
      </c>
      <c r="R13" s="94">
        <f>VLOOKUP(FarmerOUTCOMES[[#This Row],[DI-Group/Location]], CFfarmer1[],3,FALSE)</f>
        <v>0</v>
      </c>
      <c r="S13" t="s">
        <v>281</v>
      </c>
      <c r="T13" s="86">
        <v>1</v>
      </c>
      <c r="U13" s="87">
        <v>0</v>
      </c>
      <c r="V13" s="87">
        <v>25000</v>
      </c>
      <c r="W13" s="85">
        <v>0</v>
      </c>
      <c r="X13" s="85">
        <f>SUM(FarmerOUTCOMES[[#This Row],[Value of benefit A]:[Value of benefit C]])*(1-FarmerOUTCOMES[[#This Row],[2-CF Factor]])</f>
        <v>25000</v>
      </c>
      <c r="Y13" s="85">
        <f>VLOOKUP(FarmerOUTCOMES[[#This Row],[DI-Group/Location]],CFfarmer2[],3,FALSE)</f>
        <v>0</v>
      </c>
      <c r="Z13" s="157" t="s">
        <v>190</v>
      </c>
      <c r="AA13" s="87">
        <v>150000</v>
      </c>
      <c r="AB13" s="87">
        <v>20000</v>
      </c>
      <c r="AC13" s="87"/>
      <c r="AD13" s="87">
        <v>0</v>
      </c>
      <c r="AE13" s="99" t="s">
        <v>191</v>
      </c>
      <c r="AF13" s="87">
        <v>80000</v>
      </c>
      <c r="AG13" s="41">
        <v>0</v>
      </c>
      <c r="AH13" s="41"/>
      <c r="AI13" s="87">
        <v>0</v>
      </c>
      <c r="AJ13" s="99" t="s">
        <v>191</v>
      </c>
      <c r="AK13" s="52">
        <v>400000</v>
      </c>
      <c r="AL13" s="52">
        <v>10</v>
      </c>
      <c r="AM13" s="52">
        <v>5</v>
      </c>
      <c r="AN13" s="87">
        <v>0</v>
      </c>
      <c r="AO13" s="87"/>
      <c r="AP13" s="52">
        <v>0</v>
      </c>
      <c r="AQ13" s="99" t="s">
        <v>192</v>
      </c>
      <c r="AR13" s="38">
        <v>5000</v>
      </c>
      <c r="AS13" s="38"/>
      <c r="AT13" s="50">
        <v>0</v>
      </c>
      <c r="AU13" s="99" t="s">
        <v>193</v>
      </c>
      <c r="AV13" s="87" t="s">
        <v>82</v>
      </c>
      <c r="AW13" s="78" t="s">
        <v>82</v>
      </c>
      <c r="AX13" s="78" t="e">
        <f>IF(FarmerOUTCOMES[[#This Row],[Discretionary expenditure  ]]&lt;&gt;0,FarmerOUTCOMES[[#This Row],[Willingness to accept compensation]]/FarmerOUTCOMES[[#This Row],[Discretionary expenditure  ]],0)</f>
        <v>#VALUE!</v>
      </c>
      <c r="AY13" s="78"/>
      <c r="AZ13" s="68">
        <v>0</v>
      </c>
      <c r="BA13" s="99" t="s">
        <v>194</v>
      </c>
      <c r="BB13" s="93" t="s">
        <v>82</v>
      </c>
      <c r="BC13" s="93" t="s">
        <v>82</v>
      </c>
      <c r="BD13" s="93" t="s">
        <v>82</v>
      </c>
      <c r="BE13" s="93" t="s">
        <v>82</v>
      </c>
      <c r="BF13" s="93" t="s">
        <v>82</v>
      </c>
    </row>
    <row r="14" spans="1:58" s="117" customFormat="1" x14ac:dyDescent="0.3">
      <c r="A14" s="3">
        <v>10</v>
      </c>
      <c r="B14" s="12" t="s">
        <v>102</v>
      </c>
      <c r="C14" s="95" t="s">
        <v>75</v>
      </c>
      <c r="D14" s="95" t="s">
        <v>76</v>
      </c>
      <c r="E14" s="95" t="s">
        <v>71</v>
      </c>
      <c r="F14" s="95" t="s">
        <v>79</v>
      </c>
      <c r="G14" s="95" t="s">
        <v>82</v>
      </c>
      <c r="H14" s="95" t="s">
        <v>177</v>
      </c>
      <c r="I14" s="95" t="s">
        <v>79</v>
      </c>
      <c r="J14" s="95">
        <v>2</v>
      </c>
      <c r="K14" s="87">
        <v>1800000</v>
      </c>
      <c r="L14" s="87">
        <v>1002500</v>
      </c>
      <c r="M14" s="87">
        <v>814000</v>
      </c>
      <c r="N14" s="87">
        <v>884750</v>
      </c>
      <c r="O14" s="87">
        <f>(FarmerOUTCOMES[[#This Row],[1- Current revenue from fruits and veg]]-FarmerOUTCOMES[[#This Row],[Current costs of production for fruits and veg]])-(FarmerOUTCOMES[[#This Row],[Previous revenue from fruit and veg]]-FarmerOUTCOMES[[#This Row],[Previous cost of production for fruits andveg]])*(1-FarmerOUTCOMES[[#This Row],[1-CF factor]])</f>
        <v>868250</v>
      </c>
      <c r="P14" s="94" t="s">
        <v>79</v>
      </c>
      <c r="Q14" s="94" t="s">
        <v>15</v>
      </c>
      <c r="R14" s="94">
        <f>VLOOKUP(FarmerOUTCOMES[[#This Row],[DI-Group/Location]], CFfarmer1[],3,FALSE)</f>
        <v>0</v>
      </c>
      <c r="S14" t="s">
        <v>189</v>
      </c>
      <c r="T14" s="86">
        <v>1</v>
      </c>
      <c r="U14" s="87">
        <v>36000</v>
      </c>
      <c r="V14" s="87">
        <v>0</v>
      </c>
      <c r="W14" s="87">
        <v>50000</v>
      </c>
      <c r="X14" s="87">
        <f>SUM(FarmerOUTCOMES[[#This Row],[Value of benefit A]:[Value of benefit C]])*(1-FarmerOUTCOMES[[#This Row],[2-CF Factor]])</f>
        <v>86000</v>
      </c>
      <c r="Y14" s="87">
        <f>VLOOKUP(FarmerOUTCOMES[[#This Row],[DI-Group/Location]],CFfarmer2[],3,FALSE)</f>
        <v>0</v>
      </c>
      <c r="Z14" s="157" t="s">
        <v>190</v>
      </c>
      <c r="AA14" s="87">
        <v>180000</v>
      </c>
      <c r="AB14" s="87">
        <v>24000</v>
      </c>
      <c r="AC14" s="87"/>
      <c r="AD14" s="87">
        <v>0</v>
      </c>
      <c r="AE14" s="99" t="s">
        <v>191</v>
      </c>
      <c r="AF14" s="87">
        <v>100000</v>
      </c>
      <c r="AG14" s="87">
        <v>8000</v>
      </c>
      <c r="AH14" s="87"/>
      <c r="AI14" s="87">
        <v>0</v>
      </c>
      <c r="AJ14" s="99" t="s">
        <v>191</v>
      </c>
      <c r="AK14" s="52">
        <v>500000</v>
      </c>
      <c r="AL14" s="52">
        <v>10</v>
      </c>
      <c r="AM14" s="52">
        <v>5</v>
      </c>
      <c r="AN14" s="87">
        <v>0</v>
      </c>
      <c r="AO14" s="87"/>
      <c r="AP14" s="52">
        <v>0</v>
      </c>
      <c r="AQ14" s="99" t="s">
        <v>192</v>
      </c>
      <c r="AR14" s="38">
        <v>8000</v>
      </c>
      <c r="AS14" s="38"/>
      <c r="AT14" s="50">
        <v>0</v>
      </c>
      <c r="AU14" s="99" t="s">
        <v>193</v>
      </c>
      <c r="AV14" s="87" t="s">
        <v>82</v>
      </c>
      <c r="AW14" s="78" t="s">
        <v>82</v>
      </c>
      <c r="AX14" s="78" t="e">
        <f>IF(FarmerOUTCOMES[[#This Row],[Discretionary expenditure  ]]&lt;&gt;0,FarmerOUTCOMES[[#This Row],[Willingness to accept compensation]]/FarmerOUTCOMES[[#This Row],[Discretionary expenditure  ]],0)</f>
        <v>#VALUE!</v>
      </c>
      <c r="AY14" s="78"/>
      <c r="AZ14" s="68">
        <v>0</v>
      </c>
      <c r="BA14" s="99" t="s">
        <v>194</v>
      </c>
      <c r="BB14" s="93" t="s">
        <v>82</v>
      </c>
      <c r="BC14" s="93" t="s">
        <v>82</v>
      </c>
      <c r="BD14" s="93" t="s">
        <v>82</v>
      </c>
      <c r="BE14" s="93" t="s">
        <v>82</v>
      </c>
      <c r="BF14" s="93" t="s">
        <v>82</v>
      </c>
    </row>
    <row r="15" spans="1:58" s="117" customFormat="1" x14ac:dyDescent="0.3">
      <c r="A15" s="3">
        <v>11</v>
      </c>
      <c r="B15" s="12" t="s">
        <v>178</v>
      </c>
      <c r="C15" s="95" t="s">
        <v>74</v>
      </c>
      <c r="D15" s="95" t="s">
        <v>77</v>
      </c>
      <c r="E15" s="95" t="s">
        <v>71</v>
      </c>
      <c r="F15" s="95" t="s">
        <v>79</v>
      </c>
      <c r="G15" s="95" t="s">
        <v>82</v>
      </c>
      <c r="H15" s="95" t="s">
        <v>177</v>
      </c>
      <c r="I15" s="95" t="s">
        <v>15</v>
      </c>
      <c r="J15" s="95">
        <v>2</v>
      </c>
      <c r="K15" s="87">
        <v>350000</v>
      </c>
      <c r="L15" s="87">
        <v>169000</v>
      </c>
      <c r="M15" s="87">
        <v>150000</v>
      </c>
      <c r="N15" s="87">
        <v>114000</v>
      </c>
      <c r="O15" s="87">
        <f>(FarmerOUTCOMES[[#This Row],[1- Current revenue from fruits and veg]]-FarmerOUTCOMES[[#This Row],[Current costs of production for fruits and veg]])-(FarmerOUTCOMES[[#This Row],[Previous revenue from fruit and veg]]-FarmerOUTCOMES[[#This Row],[Previous cost of production for fruits andveg]])*(1-FarmerOUTCOMES[[#This Row],[1-CF factor]])</f>
        <v>145000</v>
      </c>
      <c r="P15" s="94" t="s">
        <v>79</v>
      </c>
      <c r="Q15" s="94" t="s">
        <v>15</v>
      </c>
      <c r="R15" s="94">
        <f>VLOOKUP(FarmerOUTCOMES[[#This Row],[DI-Group/Location]], CFfarmer1[],3,FALSE)</f>
        <v>0</v>
      </c>
      <c r="S15" t="s">
        <v>189</v>
      </c>
      <c r="T15" s="86">
        <v>1</v>
      </c>
      <c r="U15" s="87">
        <v>0</v>
      </c>
      <c r="V15" s="87">
        <v>0</v>
      </c>
      <c r="W15" s="88">
        <v>0</v>
      </c>
      <c r="X15" s="88">
        <f>SUM(FarmerOUTCOMES[[#This Row],[Value of benefit A]:[Value of benefit C]])*(1-FarmerOUTCOMES[[#This Row],[2-CF Factor]])</f>
        <v>0</v>
      </c>
      <c r="Y15" s="68">
        <f>VLOOKUP(FarmerOUTCOMES[[#This Row],[DI-Group/Location]],CFfarmer2[],3,FALSE)</f>
        <v>0</v>
      </c>
      <c r="Z15" s="157" t="s">
        <v>190</v>
      </c>
      <c r="AA15" s="41">
        <v>0</v>
      </c>
      <c r="AB15" s="87">
        <v>12000</v>
      </c>
      <c r="AC15" s="87"/>
      <c r="AD15" s="87">
        <f>VLOOKUP(FarmerOUTCOMES[[#This Row],[DI-Group/Location]],CFfarmer3[],3,FALSE)</f>
        <v>0</v>
      </c>
      <c r="AE15" s="99" t="s">
        <v>191</v>
      </c>
      <c r="AF15" s="41">
        <v>0</v>
      </c>
      <c r="AG15" s="150">
        <v>5000</v>
      </c>
      <c r="AH15" s="87"/>
      <c r="AI15" s="87">
        <v>0</v>
      </c>
      <c r="AJ15" s="99" t="s">
        <v>191</v>
      </c>
      <c r="AK15" s="52">
        <v>0</v>
      </c>
      <c r="AL15" s="52">
        <v>0</v>
      </c>
      <c r="AM15" s="52">
        <v>0</v>
      </c>
      <c r="AN15" s="87">
        <v>0</v>
      </c>
      <c r="AO15" s="87"/>
      <c r="AP15" s="52">
        <v>0</v>
      </c>
      <c r="AQ15" s="99" t="s">
        <v>192</v>
      </c>
      <c r="AR15" s="151">
        <v>5000</v>
      </c>
      <c r="AS15" s="38"/>
      <c r="AT15" s="50">
        <v>0</v>
      </c>
      <c r="AU15" s="99" t="s">
        <v>193</v>
      </c>
      <c r="AV15" s="87">
        <v>207000</v>
      </c>
      <c r="AW15" s="78">
        <v>200000</v>
      </c>
      <c r="AX15" s="273">
        <f>IF(FarmerOUTCOMES[[#This Row],[Discretionary expenditure  ]]&lt;&gt;0,FarmerOUTCOMES[[#This Row],[Willingness to accept compensation]]/FarmerOUTCOMES[[#This Row],[Discretionary expenditure  ]],0)</f>
        <v>0.96618357487922701</v>
      </c>
      <c r="AY15" s="78"/>
      <c r="AZ15" s="68">
        <v>0</v>
      </c>
      <c r="BA15" s="99" t="s">
        <v>194</v>
      </c>
      <c r="BB15" s="93" t="s">
        <v>82</v>
      </c>
      <c r="BC15" s="93" t="s">
        <v>82</v>
      </c>
      <c r="BD15" s="93" t="s">
        <v>82</v>
      </c>
      <c r="BE15" s="93" t="s">
        <v>82</v>
      </c>
      <c r="BF15" s="93" t="s">
        <v>82</v>
      </c>
    </row>
    <row r="16" spans="1:58" s="117" customFormat="1" x14ac:dyDescent="0.3">
      <c r="A16" s="3">
        <v>12</v>
      </c>
      <c r="B16" s="12" t="s">
        <v>103</v>
      </c>
      <c r="C16" s="95" t="s">
        <v>74</v>
      </c>
      <c r="D16" s="95" t="s">
        <v>77</v>
      </c>
      <c r="E16" s="95" t="s">
        <v>71</v>
      </c>
      <c r="F16" s="95" t="s">
        <v>79</v>
      </c>
      <c r="G16" s="95" t="s">
        <v>82</v>
      </c>
      <c r="H16" s="95" t="s">
        <v>177</v>
      </c>
      <c r="I16" s="95" t="s">
        <v>79</v>
      </c>
      <c r="J16" s="95">
        <v>2</v>
      </c>
      <c r="K16" s="87">
        <v>350000</v>
      </c>
      <c r="L16" s="87">
        <v>106000</v>
      </c>
      <c r="M16" s="87">
        <v>75000</v>
      </c>
      <c r="N16" s="87">
        <v>66000</v>
      </c>
      <c r="O16" s="87">
        <f>(FarmerOUTCOMES[[#This Row],[1- Current revenue from fruits and veg]]-FarmerOUTCOMES[[#This Row],[Current costs of production for fruits and veg]])-(FarmerOUTCOMES[[#This Row],[Previous revenue from fruit and veg]]-FarmerOUTCOMES[[#This Row],[Previous cost of production for fruits andveg]])*(1-FarmerOUTCOMES[[#This Row],[1-CF factor]])</f>
        <v>235000</v>
      </c>
      <c r="P16" s="94" t="s">
        <v>79</v>
      </c>
      <c r="Q16" s="94" t="s">
        <v>15</v>
      </c>
      <c r="R16" s="94">
        <f>VLOOKUP(FarmerOUTCOMES[[#This Row],[DI-Group/Location]], CFfarmer1[],3,FALSE)</f>
        <v>0</v>
      </c>
      <c r="S16" t="s">
        <v>189</v>
      </c>
      <c r="T16" s="86">
        <v>2</v>
      </c>
      <c r="U16" s="87">
        <v>54000</v>
      </c>
      <c r="V16" s="87">
        <v>25000</v>
      </c>
      <c r="W16" s="87">
        <v>50000</v>
      </c>
      <c r="X16" s="87">
        <f>SUM(FarmerOUTCOMES[[#This Row],[Value of benefit A]:[Value of benefit C]])*(1-FarmerOUTCOMES[[#This Row],[2-CF Factor]])</f>
        <v>129000</v>
      </c>
      <c r="Y16" s="87">
        <f>VLOOKUP(FarmerOUTCOMES[[#This Row],[DI-Group/Location]],CFfarmer2[],3,FALSE)</f>
        <v>0</v>
      </c>
      <c r="Z16" s="157" t="s">
        <v>190</v>
      </c>
      <c r="AA16" s="87">
        <v>142000</v>
      </c>
      <c r="AB16" s="87">
        <v>12000</v>
      </c>
      <c r="AC16" s="87"/>
      <c r="AD16" s="87">
        <v>0</v>
      </c>
      <c r="AE16" s="99" t="s">
        <v>191</v>
      </c>
      <c r="AF16" s="87">
        <v>80000</v>
      </c>
      <c r="AG16" s="87">
        <v>5000</v>
      </c>
      <c r="AH16" s="87"/>
      <c r="AI16" s="87">
        <v>0</v>
      </c>
      <c r="AJ16" s="99" t="s">
        <v>191</v>
      </c>
      <c r="AK16" s="52">
        <v>400000</v>
      </c>
      <c r="AL16" s="52">
        <v>10</v>
      </c>
      <c r="AM16" s="52">
        <v>5</v>
      </c>
      <c r="AN16" s="87">
        <v>0</v>
      </c>
      <c r="AO16" s="87"/>
      <c r="AP16" s="52">
        <v>0</v>
      </c>
      <c r="AQ16" s="99" t="s">
        <v>192</v>
      </c>
      <c r="AR16" s="38">
        <v>5000</v>
      </c>
      <c r="AS16" s="38"/>
      <c r="AT16" s="50">
        <v>0</v>
      </c>
      <c r="AU16" s="99" t="s">
        <v>193</v>
      </c>
      <c r="AV16" s="87">
        <v>230000</v>
      </c>
      <c r="AW16" s="78">
        <v>250000</v>
      </c>
      <c r="AX16" s="273">
        <f>IF(FarmerOUTCOMES[[#This Row],[Discretionary expenditure  ]]&lt;&gt;0,FarmerOUTCOMES[[#This Row],[Willingness to accept compensation]]/FarmerOUTCOMES[[#This Row],[Discretionary expenditure  ]],0)</f>
        <v>1.0869565217391304</v>
      </c>
      <c r="AY16" s="78"/>
      <c r="AZ16" s="68">
        <v>0</v>
      </c>
      <c r="BA16" s="99" t="s">
        <v>194</v>
      </c>
      <c r="BB16" s="93" t="s">
        <v>82</v>
      </c>
      <c r="BC16" s="93" t="s">
        <v>82</v>
      </c>
      <c r="BD16" s="93" t="s">
        <v>82</v>
      </c>
      <c r="BE16" s="93" t="s">
        <v>82</v>
      </c>
      <c r="BF16" s="93" t="s">
        <v>82</v>
      </c>
    </row>
    <row r="17" spans="1:58" s="117" customFormat="1" x14ac:dyDescent="0.3">
      <c r="A17" s="3">
        <v>13</v>
      </c>
      <c r="B17" s="12" t="s">
        <v>104</v>
      </c>
      <c r="C17" s="95" t="s">
        <v>74</v>
      </c>
      <c r="D17" s="95" t="s">
        <v>76</v>
      </c>
      <c r="E17" s="95" t="s">
        <v>71</v>
      </c>
      <c r="F17" s="95" t="s">
        <v>79</v>
      </c>
      <c r="G17" s="95" t="s">
        <v>82</v>
      </c>
      <c r="H17" s="95" t="s">
        <v>177</v>
      </c>
      <c r="I17" s="95" t="s">
        <v>15</v>
      </c>
      <c r="J17" s="95">
        <v>2</v>
      </c>
      <c r="K17" s="87">
        <v>1044000</v>
      </c>
      <c r="L17" s="87">
        <v>515000</v>
      </c>
      <c r="M17" s="87">
        <v>520000</v>
      </c>
      <c r="N17" s="87">
        <v>510000</v>
      </c>
      <c r="O17" s="87">
        <f>(FarmerOUTCOMES[[#This Row],[1- Current revenue from fruits and veg]]-FarmerOUTCOMES[[#This Row],[Current costs of production for fruits and veg]])-(FarmerOUTCOMES[[#This Row],[Previous revenue from fruit and veg]]-FarmerOUTCOMES[[#This Row],[Previous cost of production for fruits andveg]])*(1-FarmerOUTCOMES[[#This Row],[1-CF factor]])</f>
        <v>519000</v>
      </c>
      <c r="P17" s="94" t="s">
        <v>79</v>
      </c>
      <c r="Q17" s="94" t="s">
        <v>15</v>
      </c>
      <c r="R17" s="94">
        <f>VLOOKUP(FarmerOUTCOMES[[#This Row],[DI-Group/Location]], CFfarmer1[],3,FALSE)</f>
        <v>0</v>
      </c>
      <c r="S17" t="s">
        <v>189</v>
      </c>
      <c r="T17" s="86">
        <v>1</v>
      </c>
      <c r="U17" s="87">
        <v>0</v>
      </c>
      <c r="V17" s="87">
        <v>0</v>
      </c>
      <c r="W17" s="88">
        <v>0</v>
      </c>
      <c r="X17" s="88">
        <f>SUM(FarmerOUTCOMES[[#This Row],[Value of benefit A]:[Value of benefit C]])*(1-FarmerOUTCOMES[[#This Row],[2-CF Factor]])</f>
        <v>0</v>
      </c>
      <c r="Y17" s="68">
        <f>VLOOKUP(FarmerOUTCOMES[[#This Row],[DI-Group/Location]],CFfarmer2[],3,FALSE)</f>
        <v>0</v>
      </c>
      <c r="Z17" s="157" t="s">
        <v>190</v>
      </c>
      <c r="AA17" s="87">
        <v>120000</v>
      </c>
      <c r="AB17" s="87">
        <v>12000</v>
      </c>
      <c r="AC17" s="87"/>
      <c r="AD17" s="87">
        <f>VLOOKUP(FarmerOUTCOMES[[#This Row],[DI-Group/Location]],CFfarmer3[],3,FALSE)</f>
        <v>0</v>
      </c>
      <c r="AE17" s="99" t="s">
        <v>191</v>
      </c>
      <c r="AF17" s="41">
        <v>0</v>
      </c>
      <c r="AG17" s="150">
        <v>15000</v>
      </c>
      <c r="AH17" s="87"/>
      <c r="AI17" s="87">
        <v>0</v>
      </c>
      <c r="AJ17" s="99" t="s">
        <v>191</v>
      </c>
      <c r="AK17" s="52">
        <v>0</v>
      </c>
      <c r="AL17" s="52">
        <v>0</v>
      </c>
      <c r="AM17" s="52">
        <v>0</v>
      </c>
      <c r="AN17" s="87">
        <v>0</v>
      </c>
      <c r="AO17" s="87"/>
      <c r="AP17" s="52">
        <v>0</v>
      </c>
      <c r="AQ17" s="99" t="s">
        <v>192</v>
      </c>
      <c r="AR17" s="38" t="s">
        <v>82</v>
      </c>
      <c r="AS17" s="38"/>
      <c r="AT17" s="50">
        <v>0</v>
      </c>
      <c r="AU17" s="99" t="s">
        <v>193</v>
      </c>
      <c r="AV17" s="87">
        <v>55000</v>
      </c>
      <c r="AW17" s="254">
        <v>50000</v>
      </c>
      <c r="AX17" s="254">
        <f>IF(FarmerOUTCOMES[[#This Row],[Discretionary expenditure  ]]&lt;&gt;0,FarmerOUTCOMES[[#This Row],[Willingness to accept compensation]]/FarmerOUTCOMES[[#This Row],[Discretionary expenditure  ]],0)</f>
        <v>0.90909090909090906</v>
      </c>
      <c r="AY17" s="78"/>
      <c r="AZ17" s="68">
        <v>0</v>
      </c>
      <c r="BA17" s="99" t="s">
        <v>194</v>
      </c>
      <c r="BB17" s="93" t="s">
        <v>82</v>
      </c>
      <c r="BC17" s="93" t="s">
        <v>82</v>
      </c>
      <c r="BD17" s="93" t="s">
        <v>82</v>
      </c>
      <c r="BE17" s="93" t="s">
        <v>82</v>
      </c>
      <c r="BF17" s="93" t="s">
        <v>82</v>
      </c>
    </row>
    <row r="18" spans="1:58" s="117" customFormat="1" x14ac:dyDescent="0.3">
      <c r="A18" s="3">
        <v>14</v>
      </c>
      <c r="B18" s="12" t="s">
        <v>110</v>
      </c>
      <c r="C18" s="95" t="s">
        <v>74</v>
      </c>
      <c r="D18" s="95" t="s">
        <v>77</v>
      </c>
      <c r="E18" s="95" t="s">
        <v>71</v>
      </c>
      <c r="F18" s="95" t="s">
        <v>79</v>
      </c>
      <c r="G18" s="95" t="s">
        <v>82</v>
      </c>
      <c r="H18" s="95" t="s">
        <v>177</v>
      </c>
      <c r="I18" s="95" t="s">
        <v>15</v>
      </c>
      <c r="J18" s="95">
        <v>2</v>
      </c>
      <c r="K18" s="87">
        <v>2770000</v>
      </c>
      <c r="L18" s="87">
        <v>1325000</v>
      </c>
      <c r="M18" s="87">
        <v>767200</v>
      </c>
      <c r="N18" s="87">
        <v>690000</v>
      </c>
      <c r="O18" s="87">
        <f>(FarmerOUTCOMES[[#This Row],[1- Current revenue from fruits and veg]]-FarmerOUTCOMES[[#This Row],[Current costs of production for fruits and veg]])-(FarmerOUTCOMES[[#This Row],[Previous revenue from fruit and veg]]-FarmerOUTCOMES[[#This Row],[Previous cost of production for fruits andveg]])*(1-FarmerOUTCOMES[[#This Row],[1-CF factor]])</f>
        <v>1367800</v>
      </c>
      <c r="P18" s="94" t="s">
        <v>79</v>
      </c>
      <c r="Q18" s="94" t="s">
        <v>15</v>
      </c>
      <c r="R18" s="94">
        <f>VLOOKUP(FarmerOUTCOMES[[#This Row],[DI-Group/Location]], CFfarmer1[],3,FALSE)</f>
        <v>0</v>
      </c>
      <c r="S18" t="s">
        <v>189</v>
      </c>
      <c r="T18" s="86">
        <v>1</v>
      </c>
      <c r="U18" s="87">
        <v>0</v>
      </c>
      <c r="V18" s="87">
        <v>0</v>
      </c>
      <c r="W18" s="88">
        <v>0</v>
      </c>
      <c r="X18" s="88">
        <f>SUM(FarmerOUTCOMES[[#This Row],[Value of benefit A]:[Value of benefit C]])*(1-FarmerOUTCOMES[[#This Row],[2-CF Factor]])</f>
        <v>0</v>
      </c>
      <c r="Y18" s="68">
        <f>VLOOKUP(FarmerOUTCOMES[[#This Row],[DI-Group/Location]],CFfarmer2[],3,FALSE)</f>
        <v>0</v>
      </c>
      <c r="Z18" s="157" t="s">
        <v>190</v>
      </c>
      <c r="AA18" s="87">
        <v>203000</v>
      </c>
      <c r="AB18" s="87">
        <v>20000</v>
      </c>
      <c r="AC18" s="87"/>
      <c r="AD18" s="87">
        <f>VLOOKUP(FarmerOUTCOMES[[#This Row],[DI-Group/Location]],CFfarmer3[],3,FALSE)</f>
        <v>0</v>
      </c>
      <c r="AE18" s="99" t="s">
        <v>191</v>
      </c>
      <c r="AF18" s="41">
        <v>0</v>
      </c>
      <c r="AG18" s="150">
        <v>5000</v>
      </c>
      <c r="AH18" s="87"/>
      <c r="AI18" s="87">
        <v>0</v>
      </c>
      <c r="AJ18" s="99" t="s">
        <v>191</v>
      </c>
      <c r="AK18" s="52">
        <v>0</v>
      </c>
      <c r="AL18" s="52">
        <v>0</v>
      </c>
      <c r="AM18" s="52">
        <v>0</v>
      </c>
      <c r="AN18" s="87">
        <v>0</v>
      </c>
      <c r="AO18" s="87"/>
      <c r="AP18" s="52">
        <v>0</v>
      </c>
      <c r="AQ18" s="99" t="s">
        <v>192</v>
      </c>
      <c r="AR18" s="151">
        <v>15000</v>
      </c>
      <c r="AS18" s="38"/>
      <c r="AT18" s="50">
        <v>0</v>
      </c>
      <c r="AU18" s="99" t="s">
        <v>193</v>
      </c>
      <c r="AV18" s="87">
        <v>335000</v>
      </c>
      <c r="AW18" s="78">
        <v>350000</v>
      </c>
      <c r="AX18" s="273">
        <f>IF(FarmerOUTCOMES[[#This Row],[Discretionary expenditure  ]]&lt;&gt;0,FarmerOUTCOMES[[#This Row],[Willingness to accept compensation]]/FarmerOUTCOMES[[#This Row],[Discretionary expenditure  ]],0)</f>
        <v>1.044776119402985</v>
      </c>
      <c r="AY18" s="78"/>
      <c r="AZ18" s="68">
        <v>0</v>
      </c>
      <c r="BA18" s="99" t="s">
        <v>194</v>
      </c>
      <c r="BB18" s="93" t="s">
        <v>82</v>
      </c>
      <c r="BC18" s="93" t="s">
        <v>82</v>
      </c>
      <c r="BD18" s="93" t="s">
        <v>82</v>
      </c>
      <c r="BE18" s="93" t="s">
        <v>82</v>
      </c>
      <c r="BF18" s="93" t="s">
        <v>82</v>
      </c>
    </row>
    <row r="19" spans="1:58" s="117" customFormat="1" x14ac:dyDescent="0.3">
      <c r="A19" s="3">
        <v>15</v>
      </c>
      <c r="B19" s="12" t="s">
        <v>105</v>
      </c>
      <c r="C19" s="95" t="s">
        <v>74</v>
      </c>
      <c r="D19" s="95" t="s">
        <v>77</v>
      </c>
      <c r="E19" s="95" t="s">
        <v>71</v>
      </c>
      <c r="F19" s="95" t="s">
        <v>79</v>
      </c>
      <c r="G19" s="95" t="s">
        <v>82</v>
      </c>
      <c r="H19" s="95" t="s">
        <v>177</v>
      </c>
      <c r="I19" s="95" t="s">
        <v>79</v>
      </c>
      <c r="J19" s="95">
        <v>2</v>
      </c>
      <c r="K19" s="87">
        <v>1080000</v>
      </c>
      <c r="L19" s="87">
        <v>460000</v>
      </c>
      <c r="M19" s="87">
        <v>470000</v>
      </c>
      <c r="N19" s="87">
        <v>570000</v>
      </c>
      <c r="O19" s="87">
        <f>(FarmerOUTCOMES[[#This Row],[1- Current revenue from fruits and veg]]-FarmerOUTCOMES[[#This Row],[Current costs of production for fruits and veg]])-(FarmerOUTCOMES[[#This Row],[Previous revenue from fruit and veg]]-FarmerOUTCOMES[[#This Row],[Previous cost of production for fruits andveg]])*(1-FarmerOUTCOMES[[#This Row],[1-CF factor]])</f>
        <v>720000</v>
      </c>
      <c r="P19" s="94" t="s">
        <v>79</v>
      </c>
      <c r="Q19" s="94" t="s">
        <v>15</v>
      </c>
      <c r="R19" s="94">
        <f>VLOOKUP(FarmerOUTCOMES[[#This Row],[DI-Group/Location]], CFfarmer1[],3,FALSE)</f>
        <v>0</v>
      </c>
      <c r="S19" t="s">
        <v>189</v>
      </c>
      <c r="T19" s="86">
        <v>1</v>
      </c>
      <c r="U19" s="87">
        <v>0</v>
      </c>
      <c r="V19" s="87">
        <v>0</v>
      </c>
      <c r="W19" s="87">
        <v>15000</v>
      </c>
      <c r="X19" s="87">
        <f>SUM(FarmerOUTCOMES[[#This Row],[Value of benefit A]:[Value of benefit C]])*(1-FarmerOUTCOMES[[#This Row],[2-CF Factor]])</f>
        <v>15000</v>
      </c>
      <c r="Y19" s="87">
        <f>VLOOKUP(FarmerOUTCOMES[[#This Row],[DI-Group/Location]],CFfarmer2[],3,FALSE)</f>
        <v>0</v>
      </c>
      <c r="Z19" s="157" t="s">
        <v>190</v>
      </c>
      <c r="AA19" s="87">
        <v>160000</v>
      </c>
      <c r="AB19" s="87">
        <v>20000</v>
      </c>
      <c r="AC19" s="87"/>
      <c r="AD19" s="87">
        <v>0</v>
      </c>
      <c r="AE19" s="99" t="s">
        <v>191</v>
      </c>
      <c r="AF19" s="87">
        <v>80000</v>
      </c>
      <c r="AG19" s="87">
        <v>5000</v>
      </c>
      <c r="AH19" s="87"/>
      <c r="AI19" s="87">
        <v>0</v>
      </c>
      <c r="AJ19" s="99" t="s">
        <v>191</v>
      </c>
      <c r="AK19" s="52">
        <v>400000</v>
      </c>
      <c r="AL19" s="52">
        <v>10</v>
      </c>
      <c r="AM19" s="52">
        <v>5</v>
      </c>
      <c r="AN19" s="87">
        <v>0</v>
      </c>
      <c r="AO19" s="87"/>
      <c r="AP19" s="52">
        <v>0</v>
      </c>
      <c r="AQ19" s="99" t="s">
        <v>192</v>
      </c>
      <c r="AR19" s="38">
        <v>5000</v>
      </c>
      <c r="AS19" s="38"/>
      <c r="AT19" s="50">
        <v>0</v>
      </c>
      <c r="AU19" s="99" t="s">
        <v>193</v>
      </c>
      <c r="AV19" s="87">
        <v>137000</v>
      </c>
      <c r="AW19" s="78">
        <v>150000</v>
      </c>
      <c r="AX19" s="273">
        <f>IF(FarmerOUTCOMES[[#This Row],[Discretionary expenditure  ]]&lt;&gt;0,FarmerOUTCOMES[[#This Row],[Willingness to accept compensation]]/FarmerOUTCOMES[[#This Row],[Discretionary expenditure  ]],0)</f>
        <v>1.0948905109489051</v>
      </c>
      <c r="AY19" s="78"/>
      <c r="AZ19" s="68">
        <v>0</v>
      </c>
      <c r="BA19" s="99" t="s">
        <v>194</v>
      </c>
      <c r="BB19" s="93" t="s">
        <v>82</v>
      </c>
      <c r="BC19" s="93" t="s">
        <v>82</v>
      </c>
      <c r="BD19" s="93" t="s">
        <v>82</v>
      </c>
      <c r="BE19" s="93" t="s">
        <v>82</v>
      </c>
      <c r="BF19" s="93" t="s">
        <v>82</v>
      </c>
    </row>
    <row r="20" spans="1:58" s="117" customFormat="1" x14ac:dyDescent="0.3">
      <c r="A20" s="3">
        <v>16</v>
      </c>
      <c r="B20" s="12" t="s">
        <v>106</v>
      </c>
      <c r="C20" s="95" t="s">
        <v>74</v>
      </c>
      <c r="D20" s="95" t="s">
        <v>77</v>
      </c>
      <c r="E20" s="95" t="s">
        <v>71</v>
      </c>
      <c r="F20" s="95" t="s">
        <v>79</v>
      </c>
      <c r="G20" s="95" t="s">
        <v>82</v>
      </c>
      <c r="H20" s="95" t="s">
        <v>177</v>
      </c>
      <c r="I20" s="95" t="s">
        <v>79</v>
      </c>
      <c r="J20" s="95">
        <v>2</v>
      </c>
      <c r="K20" s="87">
        <v>225000</v>
      </c>
      <c r="L20" s="87">
        <v>136500</v>
      </c>
      <c r="M20" s="87">
        <v>0</v>
      </c>
      <c r="N20" s="87">
        <v>165000</v>
      </c>
      <c r="O20" s="87">
        <f>(FarmerOUTCOMES[[#This Row],[1- Current revenue from fruits and veg]]-FarmerOUTCOMES[[#This Row],[Current costs of production for fruits and veg]])-(FarmerOUTCOMES[[#This Row],[Previous revenue from fruit and veg]]-FarmerOUTCOMES[[#This Row],[Previous cost of production for fruits andveg]])*(1-FarmerOUTCOMES[[#This Row],[1-CF factor]])</f>
        <v>253500</v>
      </c>
      <c r="P20" s="94" t="s">
        <v>79</v>
      </c>
      <c r="Q20" s="94" t="s">
        <v>15</v>
      </c>
      <c r="R20" s="94">
        <f>VLOOKUP(FarmerOUTCOMES[[#This Row],[DI-Group/Location]], CFfarmer1[],3,FALSE)</f>
        <v>0</v>
      </c>
      <c r="S20" t="s">
        <v>189</v>
      </c>
      <c r="T20" s="86">
        <v>2</v>
      </c>
      <c r="U20" s="87">
        <v>0</v>
      </c>
      <c r="V20" s="87">
        <v>0</v>
      </c>
      <c r="W20" s="88">
        <v>0</v>
      </c>
      <c r="X20" s="88">
        <f>SUM(FarmerOUTCOMES[[#This Row],[Value of benefit A]:[Value of benefit C]])*(1-FarmerOUTCOMES[[#This Row],[2-CF Factor]])</f>
        <v>0</v>
      </c>
      <c r="Y20" s="88">
        <f>VLOOKUP(FarmerOUTCOMES[[#This Row],[DI-Group/Location]],CFfarmer2[],3,FALSE)</f>
        <v>0</v>
      </c>
      <c r="Z20" s="157" t="s">
        <v>190</v>
      </c>
      <c r="AA20" s="41">
        <v>0</v>
      </c>
      <c r="AB20" s="87">
        <v>16000</v>
      </c>
      <c r="AC20" s="87"/>
      <c r="AD20" s="87">
        <v>0</v>
      </c>
      <c r="AE20" s="99" t="s">
        <v>191</v>
      </c>
      <c r="AF20" s="87">
        <v>80000</v>
      </c>
      <c r="AG20" s="87">
        <v>7000</v>
      </c>
      <c r="AH20" s="87"/>
      <c r="AI20" s="87">
        <v>0</v>
      </c>
      <c r="AJ20" s="99" t="s">
        <v>191</v>
      </c>
      <c r="AK20" s="52">
        <v>400000</v>
      </c>
      <c r="AL20" s="52">
        <v>0</v>
      </c>
      <c r="AM20" s="52">
        <v>5</v>
      </c>
      <c r="AN20" s="87">
        <v>0</v>
      </c>
      <c r="AO20" s="87"/>
      <c r="AP20" s="52">
        <v>0</v>
      </c>
      <c r="AQ20" s="99" t="s">
        <v>192</v>
      </c>
      <c r="AR20" s="38">
        <v>5000</v>
      </c>
      <c r="AS20" s="38"/>
      <c r="AT20" s="50">
        <v>0</v>
      </c>
      <c r="AU20" s="99" t="s">
        <v>193</v>
      </c>
      <c r="AV20" s="87">
        <v>118000</v>
      </c>
      <c r="AW20" s="78">
        <v>120000</v>
      </c>
      <c r="AX20" s="273">
        <f>IF(FarmerOUTCOMES[[#This Row],[Discretionary expenditure  ]]&lt;&gt;0,FarmerOUTCOMES[[#This Row],[Willingness to accept compensation]]/FarmerOUTCOMES[[#This Row],[Discretionary expenditure  ]],0)</f>
        <v>1.0169491525423728</v>
      </c>
      <c r="AY20" s="78"/>
      <c r="AZ20" s="68">
        <v>0</v>
      </c>
      <c r="BA20" s="99" t="s">
        <v>194</v>
      </c>
      <c r="BB20" s="93" t="s">
        <v>82</v>
      </c>
      <c r="BC20" s="93" t="s">
        <v>82</v>
      </c>
      <c r="BD20" s="93" t="s">
        <v>82</v>
      </c>
      <c r="BE20" s="93" t="s">
        <v>82</v>
      </c>
      <c r="BF20" s="93" t="s">
        <v>82</v>
      </c>
    </row>
    <row r="21" spans="1:58" s="117" customFormat="1" x14ac:dyDescent="0.3">
      <c r="A21" s="3">
        <v>17</v>
      </c>
      <c r="B21" s="12" t="s">
        <v>111</v>
      </c>
      <c r="C21" s="95" t="s">
        <v>74</v>
      </c>
      <c r="D21" s="95" t="s">
        <v>77</v>
      </c>
      <c r="E21" s="95" t="s">
        <v>71</v>
      </c>
      <c r="F21" s="95" t="s">
        <v>79</v>
      </c>
      <c r="G21" s="95" t="s">
        <v>82</v>
      </c>
      <c r="H21" s="95" t="s">
        <v>177</v>
      </c>
      <c r="I21" s="95" t="s">
        <v>15</v>
      </c>
      <c r="J21" s="95">
        <v>2</v>
      </c>
      <c r="K21" s="87">
        <v>330000</v>
      </c>
      <c r="L21" s="87">
        <v>170000</v>
      </c>
      <c r="M21" s="87">
        <v>100000</v>
      </c>
      <c r="N21" s="87">
        <v>85000</v>
      </c>
      <c r="O21" s="87">
        <f>(FarmerOUTCOMES[[#This Row],[1- Current revenue from fruits and veg]]-FarmerOUTCOMES[[#This Row],[Current costs of production for fruits and veg]])-(FarmerOUTCOMES[[#This Row],[Previous revenue from fruit and veg]]-FarmerOUTCOMES[[#This Row],[Previous cost of production for fruits andveg]])*(1-FarmerOUTCOMES[[#This Row],[1-CF factor]])</f>
        <v>145000</v>
      </c>
      <c r="P21" s="94" t="s">
        <v>79</v>
      </c>
      <c r="Q21" s="94" t="s">
        <v>15</v>
      </c>
      <c r="R21" s="94">
        <f>VLOOKUP(FarmerOUTCOMES[[#This Row],[DI-Group/Location]], CFfarmer1[],3,FALSE)</f>
        <v>0</v>
      </c>
      <c r="S21" t="s">
        <v>189</v>
      </c>
      <c r="T21" s="86">
        <v>1</v>
      </c>
      <c r="U21" s="87">
        <v>0</v>
      </c>
      <c r="V21" s="87">
        <v>0</v>
      </c>
      <c r="W21" s="88">
        <v>0</v>
      </c>
      <c r="X21" s="88">
        <f>SUM(FarmerOUTCOMES[[#This Row],[Value of benefit A]:[Value of benefit C]])*(1-FarmerOUTCOMES[[#This Row],[2-CF Factor]])</f>
        <v>0</v>
      </c>
      <c r="Y21" s="68">
        <f>VLOOKUP(FarmerOUTCOMES[[#This Row],[DI-Group/Location]],CFfarmer2[],3,FALSE)</f>
        <v>0</v>
      </c>
      <c r="Z21" s="157" t="s">
        <v>190</v>
      </c>
      <c r="AA21" s="41">
        <v>0</v>
      </c>
      <c r="AB21" s="41">
        <v>0</v>
      </c>
      <c r="AC21" s="41"/>
      <c r="AD21" s="87">
        <f>VLOOKUP(FarmerOUTCOMES[[#This Row],[DI-Group/Location]],CFfarmer3[],3,FALSE)</f>
        <v>0</v>
      </c>
      <c r="AE21" s="99" t="s">
        <v>191</v>
      </c>
      <c r="AF21" s="41">
        <v>0</v>
      </c>
      <c r="AG21" s="41">
        <v>0</v>
      </c>
      <c r="AH21" s="41"/>
      <c r="AI21" s="87">
        <v>0</v>
      </c>
      <c r="AJ21" s="99" t="s">
        <v>191</v>
      </c>
      <c r="AK21" s="52">
        <v>0</v>
      </c>
      <c r="AL21" s="52">
        <v>0</v>
      </c>
      <c r="AM21" s="52">
        <v>0</v>
      </c>
      <c r="AN21" s="87">
        <v>0</v>
      </c>
      <c r="AO21" s="87"/>
      <c r="AP21" s="52">
        <v>0</v>
      </c>
      <c r="AQ21" s="99" t="s">
        <v>192</v>
      </c>
      <c r="AR21" s="151">
        <v>7000</v>
      </c>
      <c r="AS21" s="38"/>
      <c r="AT21" s="50">
        <v>0</v>
      </c>
      <c r="AU21" s="99" t="s">
        <v>193</v>
      </c>
      <c r="AV21" s="87">
        <v>0</v>
      </c>
      <c r="AW21" s="78">
        <v>0</v>
      </c>
      <c r="AX21" s="273">
        <f>IF(FarmerOUTCOMES[[#This Row],[Discretionary expenditure  ]]&lt;&gt;0,FarmerOUTCOMES[[#This Row],[Willingness to accept compensation]]/FarmerOUTCOMES[[#This Row],[Discretionary expenditure  ]],0)</f>
        <v>0</v>
      </c>
      <c r="AY21" s="78"/>
      <c r="AZ21" s="68">
        <v>0</v>
      </c>
      <c r="BA21" s="99" t="s">
        <v>194</v>
      </c>
      <c r="BB21" s="93" t="s">
        <v>82</v>
      </c>
      <c r="BC21" s="93" t="s">
        <v>82</v>
      </c>
      <c r="BD21" s="93" t="s">
        <v>82</v>
      </c>
      <c r="BE21" s="93" t="s">
        <v>82</v>
      </c>
      <c r="BF21" s="93" t="s">
        <v>82</v>
      </c>
    </row>
    <row r="22" spans="1:58" s="117" customFormat="1" x14ac:dyDescent="0.3">
      <c r="A22" s="3">
        <v>18</v>
      </c>
      <c r="B22" s="12" t="s">
        <v>107</v>
      </c>
      <c r="C22" s="95" t="s">
        <v>74</v>
      </c>
      <c r="D22" s="95" t="s">
        <v>77</v>
      </c>
      <c r="E22" s="95" t="s">
        <v>71</v>
      </c>
      <c r="F22" s="95" t="s">
        <v>79</v>
      </c>
      <c r="G22" s="95" t="s">
        <v>82</v>
      </c>
      <c r="H22" s="95" t="s">
        <v>177</v>
      </c>
      <c r="I22" s="95" t="s">
        <v>15</v>
      </c>
      <c r="J22" s="95">
        <v>2</v>
      </c>
      <c r="K22" s="87">
        <v>822000</v>
      </c>
      <c r="L22" s="87">
        <v>502000</v>
      </c>
      <c r="M22" s="90">
        <v>0</v>
      </c>
      <c r="N22" s="90">
        <v>0</v>
      </c>
      <c r="O22" s="90">
        <f>(FarmerOUTCOMES[[#This Row],[1- Current revenue from fruits and veg]]-FarmerOUTCOMES[[#This Row],[Current costs of production for fruits and veg]])-(FarmerOUTCOMES[[#This Row],[Previous revenue from fruit and veg]]-FarmerOUTCOMES[[#This Row],[Previous cost of production for fruits andveg]])*(1-FarmerOUTCOMES[[#This Row],[1-CF factor]])</f>
        <v>320000</v>
      </c>
      <c r="P22" s="94" t="s">
        <v>79</v>
      </c>
      <c r="Q22" s="94" t="s">
        <v>15</v>
      </c>
      <c r="R22" s="94">
        <f>VLOOKUP(FarmerOUTCOMES[[#This Row],[DI-Group/Location]], CFfarmer1[],3,FALSE)</f>
        <v>0</v>
      </c>
      <c r="S22" t="s">
        <v>189</v>
      </c>
      <c r="T22" s="86">
        <v>2</v>
      </c>
      <c r="U22" s="87">
        <v>40000</v>
      </c>
      <c r="V22" s="87">
        <v>0</v>
      </c>
      <c r="W22" s="87">
        <v>35000</v>
      </c>
      <c r="X22" s="87">
        <f>SUM(FarmerOUTCOMES[[#This Row],[Value of benefit A]:[Value of benefit C]])*(1-FarmerOUTCOMES[[#This Row],[2-CF Factor]])</f>
        <v>75000</v>
      </c>
      <c r="Y22" s="68">
        <f>VLOOKUP(FarmerOUTCOMES[[#This Row],[DI-Group/Location]],CFfarmer2[],3,FALSE)</f>
        <v>0</v>
      </c>
      <c r="Z22" s="157" t="s">
        <v>190</v>
      </c>
      <c r="AA22" s="87">
        <v>197000</v>
      </c>
      <c r="AB22" s="87">
        <v>12000</v>
      </c>
      <c r="AC22" s="87"/>
      <c r="AD22" s="87">
        <f>VLOOKUP(FarmerOUTCOMES[[#This Row],[DI-Group/Location]],CFfarmer3[],3,FALSE)</f>
        <v>0</v>
      </c>
      <c r="AE22" s="99" t="s">
        <v>191</v>
      </c>
      <c r="AF22" s="41">
        <v>0</v>
      </c>
      <c r="AG22" s="150">
        <v>7000</v>
      </c>
      <c r="AH22" s="87"/>
      <c r="AI22" s="87">
        <v>0</v>
      </c>
      <c r="AJ22" s="99" t="s">
        <v>191</v>
      </c>
      <c r="AK22" s="52">
        <v>0</v>
      </c>
      <c r="AL22" s="52">
        <v>0</v>
      </c>
      <c r="AM22" s="52">
        <v>0</v>
      </c>
      <c r="AN22" s="87">
        <v>0</v>
      </c>
      <c r="AO22" s="87"/>
      <c r="AP22" s="52">
        <v>0</v>
      </c>
      <c r="AQ22" s="99" t="s">
        <v>192</v>
      </c>
      <c r="AR22" s="151">
        <v>7000</v>
      </c>
      <c r="AS22" s="38"/>
      <c r="AT22" s="50">
        <v>0</v>
      </c>
      <c r="AU22" s="99" t="s">
        <v>193</v>
      </c>
      <c r="AV22" s="87">
        <v>190000</v>
      </c>
      <c r="AW22" s="78">
        <v>200000</v>
      </c>
      <c r="AX22" s="273">
        <f>IF(FarmerOUTCOMES[[#This Row],[Discretionary expenditure  ]]&lt;&gt;0,FarmerOUTCOMES[[#This Row],[Willingness to accept compensation]]/FarmerOUTCOMES[[#This Row],[Discretionary expenditure  ]],0)</f>
        <v>1.0526315789473684</v>
      </c>
      <c r="AY22" s="78"/>
      <c r="AZ22" s="68">
        <v>0</v>
      </c>
      <c r="BA22" s="99" t="s">
        <v>194</v>
      </c>
      <c r="BB22" s="93" t="s">
        <v>82</v>
      </c>
      <c r="BC22" s="93" t="s">
        <v>82</v>
      </c>
      <c r="BD22" s="93" t="s">
        <v>82</v>
      </c>
      <c r="BE22" s="93" t="s">
        <v>82</v>
      </c>
      <c r="BF22" s="93" t="s">
        <v>82</v>
      </c>
    </row>
    <row r="23" spans="1:58" s="117" customFormat="1" x14ac:dyDescent="0.3">
      <c r="A23" s="3">
        <v>19</v>
      </c>
      <c r="B23" s="12" t="s">
        <v>179</v>
      </c>
      <c r="C23" s="95" t="s">
        <v>74</v>
      </c>
      <c r="D23" s="95" t="s">
        <v>76</v>
      </c>
      <c r="E23" s="95" t="s">
        <v>71</v>
      </c>
      <c r="F23" s="95" t="s">
        <v>79</v>
      </c>
      <c r="G23" s="95" t="s">
        <v>82</v>
      </c>
      <c r="H23" s="95" t="s">
        <v>177</v>
      </c>
      <c r="I23" s="95" t="s">
        <v>15</v>
      </c>
      <c r="J23" s="95">
        <v>2</v>
      </c>
      <c r="K23" s="87">
        <v>675000</v>
      </c>
      <c r="L23" s="87">
        <v>327500</v>
      </c>
      <c r="M23" s="87">
        <v>250000</v>
      </c>
      <c r="N23" s="87">
        <v>174000</v>
      </c>
      <c r="O23" s="87">
        <f>(FarmerOUTCOMES[[#This Row],[1- Current revenue from fruits and veg]]-FarmerOUTCOMES[[#This Row],[Current costs of production for fruits and veg]])-(FarmerOUTCOMES[[#This Row],[Previous revenue from fruit and veg]]-FarmerOUTCOMES[[#This Row],[Previous cost of production for fruits andveg]])*(1-FarmerOUTCOMES[[#This Row],[1-CF factor]])</f>
        <v>271500</v>
      </c>
      <c r="P23" s="94" t="s">
        <v>79</v>
      </c>
      <c r="Q23" s="94" t="s">
        <v>15</v>
      </c>
      <c r="R23" s="94">
        <f>VLOOKUP(FarmerOUTCOMES[[#This Row],[DI-Group/Location]], CFfarmer1[],3,FALSE)</f>
        <v>0</v>
      </c>
      <c r="S23" t="s">
        <v>189</v>
      </c>
      <c r="T23" s="86">
        <v>1</v>
      </c>
      <c r="U23" s="87">
        <v>0</v>
      </c>
      <c r="V23" s="87" t="s">
        <v>116</v>
      </c>
      <c r="W23" s="88">
        <v>0</v>
      </c>
      <c r="X23" s="88">
        <f>SUM(FarmerOUTCOMES[[#This Row],[Value of benefit A]:[Value of benefit C]])*(1-FarmerOUTCOMES[[#This Row],[2-CF Factor]])</f>
        <v>0</v>
      </c>
      <c r="Y23" s="68">
        <f>VLOOKUP(FarmerOUTCOMES[[#This Row],[DI-Group/Location]],CFfarmer2[],3,FALSE)</f>
        <v>0</v>
      </c>
      <c r="Z23" s="157" t="s">
        <v>190</v>
      </c>
      <c r="AA23" s="41">
        <v>0</v>
      </c>
      <c r="AB23" s="41">
        <v>0</v>
      </c>
      <c r="AC23" s="41"/>
      <c r="AD23" s="87">
        <f>VLOOKUP(FarmerOUTCOMES[[#This Row],[DI-Group/Location]],CFfarmer3[],3,FALSE)</f>
        <v>0</v>
      </c>
      <c r="AE23" s="99" t="s">
        <v>191</v>
      </c>
      <c r="AF23" s="41">
        <v>0</v>
      </c>
      <c r="AG23" s="41">
        <v>0</v>
      </c>
      <c r="AH23" s="41"/>
      <c r="AI23" s="87">
        <v>0</v>
      </c>
      <c r="AJ23" s="99" t="s">
        <v>191</v>
      </c>
      <c r="AK23" s="52">
        <v>0</v>
      </c>
      <c r="AL23" s="52">
        <v>0</v>
      </c>
      <c r="AM23" s="52">
        <v>0</v>
      </c>
      <c r="AN23" s="87">
        <v>0</v>
      </c>
      <c r="AO23" s="87"/>
      <c r="AP23" s="52">
        <v>0</v>
      </c>
      <c r="AQ23" s="99" t="s">
        <v>192</v>
      </c>
      <c r="AR23" s="38" t="s">
        <v>82</v>
      </c>
      <c r="AS23" s="38"/>
      <c r="AT23" s="50">
        <v>0</v>
      </c>
      <c r="AU23" s="99" t="s">
        <v>193</v>
      </c>
      <c r="AV23" s="87" t="s">
        <v>82</v>
      </c>
      <c r="AW23" s="78" t="s">
        <v>82</v>
      </c>
      <c r="AX23" s="78" t="e">
        <f>IF(FarmerOUTCOMES[[#This Row],[Discretionary expenditure  ]]&lt;&gt;0,FarmerOUTCOMES[[#This Row],[Willingness to accept compensation]]/FarmerOUTCOMES[[#This Row],[Discretionary expenditure  ]],0)</f>
        <v>#VALUE!</v>
      </c>
      <c r="AY23" s="78"/>
      <c r="AZ23" s="68">
        <v>0</v>
      </c>
      <c r="BA23" s="99" t="s">
        <v>194</v>
      </c>
      <c r="BB23" s="93" t="s">
        <v>82</v>
      </c>
      <c r="BC23" s="93" t="s">
        <v>82</v>
      </c>
      <c r="BD23" s="93" t="s">
        <v>82</v>
      </c>
      <c r="BE23" s="93" t="s">
        <v>82</v>
      </c>
      <c r="BF23" s="93" t="s">
        <v>82</v>
      </c>
    </row>
    <row r="24" spans="1:58" s="117" customFormat="1" x14ac:dyDescent="0.3">
      <c r="A24" s="3">
        <v>20</v>
      </c>
      <c r="B24" s="12" t="s">
        <v>108</v>
      </c>
      <c r="C24" s="95" t="s">
        <v>72</v>
      </c>
      <c r="D24" s="95" t="s">
        <v>77</v>
      </c>
      <c r="E24" s="95" t="s">
        <v>71</v>
      </c>
      <c r="F24" s="95" t="s">
        <v>79</v>
      </c>
      <c r="G24" s="95" t="s">
        <v>82</v>
      </c>
      <c r="H24" s="95" t="s">
        <v>177</v>
      </c>
      <c r="I24" s="95" t="s">
        <v>79</v>
      </c>
      <c r="J24" s="95">
        <v>2</v>
      </c>
      <c r="K24" s="87">
        <v>1300000</v>
      </c>
      <c r="L24" s="87">
        <v>524000</v>
      </c>
      <c r="M24" s="87">
        <v>495000</v>
      </c>
      <c r="N24" s="87">
        <v>363000</v>
      </c>
      <c r="O24" s="87">
        <f>(FarmerOUTCOMES[[#This Row],[1- Current revenue from fruits and veg]]-FarmerOUTCOMES[[#This Row],[Current costs of production for fruits and veg]])-(FarmerOUTCOMES[[#This Row],[Previous revenue from fruit and veg]]-FarmerOUTCOMES[[#This Row],[Previous cost of production for fruits andveg]])*(1-FarmerOUTCOMES[[#This Row],[1-CF factor]])</f>
        <v>644000</v>
      </c>
      <c r="P24" s="94" t="s">
        <v>79</v>
      </c>
      <c r="Q24" s="94" t="s">
        <v>15</v>
      </c>
      <c r="R24" s="94">
        <f>VLOOKUP(FarmerOUTCOMES[[#This Row],[DI-Group/Location]], CFfarmer1[],3,FALSE)</f>
        <v>0</v>
      </c>
      <c r="S24" t="s">
        <v>189</v>
      </c>
      <c r="T24" s="86">
        <v>1</v>
      </c>
      <c r="U24" s="87">
        <v>12000</v>
      </c>
      <c r="V24" s="87">
        <v>25000</v>
      </c>
      <c r="W24" s="87">
        <v>30000</v>
      </c>
      <c r="X24" s="87">
        <f>SUM(FarmerOUTCOMES[[#This Row],[Value of benefit A]:[Value of benefit C]])*(1-FarmerOUTCOMES[[#This Row],[2-CF Factor]])</f>
        <v>67000</v>
      </c>
      <c r="Y24" s="87">
        <f>VLOOKUP(FarmerOUTCOMES[[#This Row],[DI-Group/Location]],CFfarmer2[],3,FALSE)</f>
        <v>0</v>
      </c>
      <c r="Z24" s="157" t="s">
        <v>190</v>
      </c>
      <c r="AA24" s="87">
        <v>180000</v>
      </c>
      <c r="AB24" s="87">
        <v>20000</v>
      </c>
      <c r="AC24" s="87"/>
      <c r="AD24" s="87">
        <v>0</v>
      </c>
      <c r="AE24" s="99" t="s">
        <v>191</v>
      </c>
      <c r="AF24" s="87">
        <v>140000</v>
      </c>
      <c r="AG24" s="87">
        <v>5000</v>
      </c>
      <c r="AH24" s="87"/>
      <c r="AI24" s="87">
        <v>0</v>
      </c>
      <c r="AJ24" s="99" t="s">
        <v>191</v>
      </c>
      <c r="AK24" s="52">
        <v>700000</v>
      </c>
      <c r="AL24" s="52">
        <v>10</v>
      </c>
      <c r="AM24" s="52">
        <v>5</v>
      </c>
      <c r="AN24" s="87">
        <v>0</v>
      </c>
      <c r="AO24" s="87"/>
      <c r="AP24" s="52">
        <v>0</v>
      </c>
      <c r="AQ24" s="99" t="s">
        <v>192</v>
      </c>
      <c r="AR24" s="38">
        <v>7000</v>
      </c>
      <c r="AS24" s="38"/>
      <c r="AT24" s="50">
        <v>0</v>
      </c>
      <c r="AU24" s="99" t="s">
        <v>193</v>
      </c>
      <c r="AV24" s="87">
        <v>0</v>
      </c>
      <c r="AW24" s="78">
        <v>0</v>
      </c>
      <c r="AX24" s="273">
        <f>IF(FarmerOUTCOMES[[#This Row],[Discretionary expenditure  ]]&lt;&gt;0,FarmerOUTCOMES[[#This Row],[Willingness to accept compensation]]/FarmerOUTCOMES[[#This Row],[Discretionary expenditure  ]],0)</f>
        <v>0</v>
      </c>
      <c r="AY24" s="78"/>
      <c r="AZ24" s="68">
        <v>0</v>
      </c>
      <c r="BA24" s="99" t="s">
        <v>194</v>
      </c>
      <c r="BB24" s="93" t="s">
        <v>82</v>
      </c>
      <c r="BC24" s="93" t="s">
        <v>82</v>
      </c>
      <c r="BD24" s="93" t="s">
        <v>82</v>
      </c>
      <c r="BE24" s="93" t="s">
        <v>82</v>
      </c>
      <c r="BF24" s="93" t="s">
        <v>82</v>
      </c>
    </row>
    <row r="25" spans="1:58" s="117" customFormat="1" x14ac:dyDescent="0.3">
      <c r="A25" s="3">
        <v>21</v>
      </c>
      <c r="B25" s="12" t="s">
        <v>112</v>
      </c>
      <c r="C25" s="95" t="s">
        <v>73</v>
      </c>
      <c r="D25" s="95" t="s">
        <v>77</v>
      </c>
      <c r="E25" s="95" t="s">
        <v>71</v>
      </c>
      <c r="F25" s="95" t="s">
        <v>79</v>
      </c>
      <c r="G25" s="95" t="s">
        <v>82</v>
      </c>
      <c r="H25" s="95" t="s">
        <v>177</v>
      </c>
      <c r="I25" s="95" t="s">
        <v>15</v>
      </c>
      <c r="J25" s="95">
        <v>2</v>
      </c>
      <c r="K25" s="87">
        <v>300000</v>
      </c>
      <c r="L25" s="87">
        <v>127000</v>
      </c>
      <c r="M25" s="87">
        <v>157500</v>
      </c>
      <c r="N25" s="87">
        <v>102000</v>
      </c>
      <c r="O25" s="87">
        <f>(FarmerOUTCOMES[[#This Row],[1- Current revenue from fruits and veg]]-FarmerOUTCOMES[[#This Row],[Current costs of production for fruits and veg]])-(FarmerOUTCOMES[[#This Row],[Previous revenue from fruit and veg]]-FarmerOUTCOMES[[#This Row],[Previous cost of production for fruits andveg]])*(1-FarmerOUTCOMES[[#This Row],[1-CF factor]])</f>
        <v>117500</v>
      </c>
      <c r="P25" s="94" t="s">
        <v>79</v>
      </c>
      <c r="Q25" s="94" t="s">
        <v>15</v>
      </c>
      <c r="R25" s="94">
        <f>VLOOKUP(FarmerOUTCOMES[[#This Row],[DI-Group/Location]], CFfarmer1[],3,FALSE)</f>
        <v>0</v>
      </c>
      <c r="S25" t="s">
        <v>189</v>
      </c>
      <c r="T25" s="86">
        <v>1</v>
      </c>
      <c r="U25" s="87">
        <v>0</v>
      </c>
      <c r="V25" s="87">
        <v>0</v>
      </c>
      <c r="W25" s="87">
        <v>55000</v>
      </c>
      <c r="X25" s="87">
        <f>SUM(FarmerOUTCOMES[[#This Row],[Value of benefit A]:[Value of benefit C]])*(1-FarmerOUTCOMES[[#This Row],[2-CF Factor]])</f>
        <v>55000</v>
      </c>
      <c r="Y25" s="68">
        <f>VLOOKUP(FarmerOUTCOMES[[#This Row],[DI-Group/Location]],CFfarmer2[],3,FALSE)</f>
        <v>0</v>
      </c>
      <c r="Z25" s="157" t="s">
        <v>190</v>
      </c>
      <c r="AA25" s="87">
        <v>158000</v>
      </c>
      <c r="AB25" s="87">
        <v>16000</v>
      </c>
      <c r="AC25" s="87"/>
      <c r="AD25" s="87">
        <f>VLOOKUP(FarmerOUTCOMES[[#This Row],[DI-Group/Location]],CFfarmer3[],3,FALSE)</f>
        <v>0</v>
      </c>
      <c r="AE25" s="99" t="s">
        <v>191</v>
      </c>
      <c r="AF25" s="41">
        <v>0</v>
      </c>
      <c r="AG25" s="150">
        <v>5000</v>
      </c>
      <c r="AH25" s="87"/>
      <c r="AI25" s="87">
        <v>0</v>
      </c>
      <c r="AJ25" s="99" t="s">
        <v>191</v>
      </c>
      <c r="AK25" s="52">
        <v>0</v>
      </c>
      <c r="AL25" s="52">
        <v>0</v>
      </c>
      <c r="AM25" s="52">
        <v>0</v>
      </c>
      <c r="AN25" s="87">
        <v>0</v>
      </c>
      <c r="AO25" s="87"/>
      <c r="AP25" s="52">
        <v>0</v>
      </c>
      <c r="AQ25" s="99" t="s">
        <v>192</v>
      </c>
      <c r="AR25" s="151">
        <v>5000</v>
      </c>
      <c r="AS25" s="38"/>
      <c r="AT25" s="50">
        <v>0</v>
      </c>
      <c r="AU25" s="99" t="s">
        <v>193</v>
      </c>
      <c r="AV25" s="87">
        <v>68500</v>
      </c>
      <c r="AW25" s="78">
        <v>80000</v>
      </c>
      <c r="AX25" s="273">
        <f>IF(FarmerOUTCOMES[[#This Row],[Discretionary expenditure  ]]&lt;&gt;0,FarmerOUTCOMES[[#This Row],[Willingness to accept compensation]]/FarmerOUTCOMES[[#This Row],[Discretionary expenditure  ]],0)</f>
        <v>1.167883211678832</v>
      </c>
      <c r="AY25" s="78"/>
      <c r="AZ25" s="68">
        <v>0</v>
      </c>
      <c r="BA25" s="99" t="s">
        <v>194</v>
      </c>
      <c r="BB25" s="93" t="s">
        <v>82</v>
      </c>
      <c r="BC25" s="93" t="s">
        <v>82</v>
      </c>
      <c r="BD25" s="93" t="s">
        <v>82</v>
      </c>
      <c r="BE25" s="93" t="s">
        <v>82</v>
      </c>
      <c r="BF25" s="93" t="s">
        <v>82</v>
      </c>
    </row>
    <row r="26" spans="1:58" s="117" customFormat="1" x14ac:dyDescent="0.3">
      <c r="A26" s="3">
        <v>22</v>
      </c>
      <c r="B26" s="12" t="s">
        <v>113</v>
      </c>
      <c r="C26" s="95" t="s">
        <v>74</v>
      </c>
      <c r="D26" s="95" t="s">
        <v>77</v>
      </c>
      <c r="E26" s="95" t="s">
        <v>71</v>
      </c>
      <c r="F26" s="95" t="s">
        <v>79</v>
      </c>
      <c r="G26" s="95" t="s">
        <v>82</v>
      </c>
      <c r="H26" s="95" t="s">
        <v>177</v>
      </c>
      <c r="I26" s="95" t="s">
        <v>15</v>
      </c>
      <c r="J26" s="95">
        <v>2</v>
      </c>
      <c r="K26" s="87">
        <v>1250000</v>
      </c>
      <c r="L26" s="87">
        <v>743000</v>
      </c>
      <c r="M26" s="87">
        <v>480000</v>
      </c>
      <c r="N26" s="87">
        <v>408500</v>
      </c>
      <c r="O26" s="87">
        <f>(FarmerOUTCOMES[[#This Row],[1- Current revenue from fruits and veg]]-FarmerOUTCOMES[[#This Row],[Current costs of production for fruits and veg]])-(FarmerOUTCOMES[[#This Row],[Previous revenue from fruit and veg]]-FarmerOUTCOMES[[#This Row],[Previous cost of production for fruits andveg]])*(1-FarmerOUTCOMES[[#This Row],[1-CF factor]])</f>
        <v>435500</v>
      </c>
      <c r="P26" s="94" t="s">
        <v>79</v>
      </c>
      <c r="Q26" s="94" t="s">
        <v>15</v>
      </c>
      <c r="R26" s="94">
        <f>VLOOKUP(FarmerOUTCOMES[[#This Row],[DI-Group/Location]], CFfarmer1[],3,FALSE)</f>
        <v>0</v>
      </c>
      <c r="S26" t="s">
        <v>189</v>
      </c>
      <c r="T26" s="86">
        <v>1</v>
      </c>
      <c r="U26" s="87">
        <v>0</v>
      </c>
      <c r="V26" s="87">
        <v>0</v>
      </c>
      <c r="W26" s="87">
        <v>40000</v>
      </c>
      <c r="X26" s="87">
        <f>SUM(FarmerOUTCOMES[[#This Row],[Value of benefit A]:[Value of benefit C]])*(1-FarmerOUTCOMES[[#This Row],[2-CF Factor]])</f>
        <v>40000</v>
      </c>
      <c r="Y26" s="68">
        <f>VLOOKUP(FarmerOUTCOMES[[#This Row],[DI-Group/Location]],CFfarmer2[],3,FALSE)</f>
        <v>0</v>
      </c>
      <c r="Z26" s="157" t="s">
        <v>190</v>
      </c>
      <c r="AA26" s="87">
        <v>120000</v>
      </c>
      <c r="AB26" s="87">
        <v>12000</v>
      </c>
      <c r="AC26" s="87"/>
      <c r="AD26" s="87">
        <f>VLOOKUP(FarmerOUTCOMES[[#This Row],[DI-Group/Location]],CFfarmer3[],3,FALSE)</f>
        <v>0</v>
      </c>
      <c r="AE26" s="99" t="s">
        <v>191</v>
      </c>
      <c r="AF26" s="41">
        <v>0</v>
      </c>
      <c r="AG26" s="150">
        <v>5000</v>
      </c>
      <c r="AH26" s="87"/>
      <c r="AI26" s="87">
        <v>0</v>
      </c>
      <c r="AJ26" s="99" t="s">
        <v>191</v>
      </c>
      <c r="AK26" s="52">
        <v>0</v>
      </c>
      <c r="AL26" s="52">
        <v>0</v>
      </c>
      <c r="AM26" s="52">
        <v>0</v>
      </c>
      <c r="AN26" s="87">
        <v>0</v>
      </c>
      <c r="AO26" s="87"/>
      <c r="AP26" s="52">
        <v>0</v>
      </c>
      <c r="AQ26" s="99" t="s">
        <v>192</v>
      </c>
      <c r="AR26" s="151">
        <v>5000</v>
      </c>
      <c r="AS26" s="38"/>
      <c r="AT26" s="50">
        <v>0</v>
      </c>
      <c r="AU26" s="99" t="s">
        <v>193</v>
      </c>
      <c r="AV26" s="87">
        <v>100000</v>
      </c>
      <c r="AW26" s="78">
        <v>40000</v>
      </c>
      <c r="AX26" s="273">
        <f>IF(FarmerOUTCOMES[[#This Row],[Discretionary expenditure  ]]&lt;&gt;0,FarmerOUTCOMES[[#This Row],[Willingness to accept compensation]]/FarmerOUTCOMES[[#This Row],[Discretionary expenditure  ]],0)</f>
        <v>0.4</v>
      </c>
      <c r="AY26" s="78"/>
      <c r="AZ26" s="68">
        <v>0</v>
      </c>
      <c r="BA26" s="99" t="s">
        <v>194</v>
      </c>
      <c r="BB26" s="93" t="s">
        <v>82</v>
      </c>
      <c r="BC26" s="93" t="s">
        <v>82</v>
      </c>
      <c r="BD26" s="93" t="s">
        <v>82</v>
      </c>
      <c r="BE26" s="93" t="s">
        <v>82</v>
      </c>
      <c r="BF26" s="93" t="s">
        <v>82</v>
      </c>
    </row>
    <row r="27" spans="1:58" s="117" customFormat="1" x14ac:dyDescent="0.3">
      <c r="A27" s="3">
        <v>23</v>
      </c>
      <c r="B27" s="12" t="s">
        <v>114</v>
      </c>
      <c r="C27" s="95" t="s">
        <v>74</v>
      </c>
      <c r="D27" s="95" t="s">
        <v>77</v>
      </c>
      <c r="E27" s="95" t="s">
        <v>71</v>
      </c>
      <c r="F27" s="95" t="s">
        <v>79</v>
      </c>
      <c r="G27" s="95" t="s">
        <v>82</v>
      </c>
      <c r="H27" s="95" t="s">
        <v>177</v>
      </c>
      <c r="I27" s="95" t="s">
        <v>15</v>
      </c>
      <c r="J27" s="95">
        <v>2</v>
      </c>
      <c r="K27" s="87">
        <v>675000</v>
      </c>
      <c r="L27" s="87">
        <v>275000</v>
      </c>
      <c r="M27" s="87">
        <v>250000</v>
      </c>
      <c r="N27" s="87">
        <v>18000</v>
      </c>
      <c r="O27" s="87">
        <f>(FarmerOUTCOMES[[#This Row],[1- Current revenue from fruits and veg]]-FarmerOUTCOMES[[#This Row],[Current costs of production for fruits and veg]])-(FarmerOUTCOMES[[#This Row],[Previous revenue from fruit and veg]]-FarmerOUTCOMES[[#This Row],[Previous cost of production for fruits andveg]])*(1-FarmerOUTCOMES[[#This Row],[1-CF factor]])</f>
        <v>168000</v>
      </c>
      <c r="P27" s="94" t="s">
        <v>79</v>
      </c>
      <c r="Q27" s="94" t="s">
        <v>15</v>
      </c>
      <c r="R27" s="94">
        <f>VLOOKUP(FarmerOUTCOMES[[#This Row],[DI-Group/Location]], CFfarmer1[],3,FALSE)</f>
        <v>0</v>
      </c>
      <c r="S27" t="s">
        <v>189</v>
      </c>
      <c r="T27" s="86">
        <v>1</v>
      </c>
      <c r="U27" s="87">
        <v>0</v>
      </c>
      <c r="V27" s="87">
        <v>0</v>
      </c>
      <c r="W27" s="87">
        <v>0</v>
      </c>
      <c r="X27" s="87">
        <f>SUM(FarmerOUTCOMES[[#This Row],[Value of benefit A]:[Value of benefit C]])*(1-FarmerOUTCOMES[[#This Row],[2-CF Factor]])</f>
        <v>0</v>
      </c>
      <c r="Y27" s="68">
        <f>VLOOKUP(FarmerOUTCOMES[[#This Row],[DI-Group/Location]],CFfarmer2[],3,FALSE)</f>
        <v>0</v>
      </c>
      <c r="Z27" s="157" t="s">
        <v>190</v>
      </c>
      <c r="AA27" s="41">
        <v>0</v>
      </c>
      <c r="AB27" s="41">
        <v>0</v>
      </c>
      <c r="AC27" s="41"/>
      <c r="AD27" s="87">
        <f>VLOOKUP(FarmerOUTCOMES[[#This Row],[DI-Group/Location]],CFfarmer3[],3,FALSE)</f>
        <v>0</v>
      </c>
      <c r="AE27" s="99" t="s">
        <v>191</v>
      </c>
      <c r="AF27" s="41">
        <v>0</v>
      </c>
      <c r="AG27" s="41">
        <v>0</v>
      </c>
      <c r="AH27" s="41"/>
      <c r="AI27" s="87">
        <v>0</v>
      </c>
      <c r="AJ27" s="99" t="s">
        <v>191</v>
      </c>
      <c r="AK27" s="52">
        <v>0</v>
      </c>
      <c r="AL27" s="52">
        <v>0</v>
      </c>
      <c r="AM27" s="52">
        <v>0</v>
      </c>
      <c r="AN27" s="87">
        <v>0</v>
      </c>
      <c r="AO27" s="87"/>
      <c r="AP27" s="52">
        <v>0</v>
      </c>
      <c r="AQ27" s="99" t="s">
        <v>192</v>
      </c>
      <c r="AR27" s="151">
        <v>5000</v>
      </c>
      <c r="AS27" s="38"/>
      <c r="AT27" s="50">
        <v>0</v>
      </c>
      <c r="AU27" s="99" t="s">
        <v>193</v>
      </c>
      <c r="AV27" s="87">
        <v>0</v>
      </c>
      <c r="AW27" s="78">
        <v>0</v>
      </c>
      <c r="AX27" s="273">
        <f>IF(FarmerOUTCOMES[[#This Row],[Discretionary expenditure  ]]&lt;&gt;0,FarmerOUTCOMES[[#This Row],[Willingness to accept compensation]]/FarmerOUTCOMES[[#This Row],[Discretionary expenditure  ]],0)</f>
        <v>0</v>
      </c>
      <c r="AY27" s="78"/>
      <c r="AZ27" s="68">
        <v>0</v>
      </c>
      <c r="BA27" s="99" t="s">
        <v>194</v>
      </c>
      <c r="BB27" s="93" t="s">
        <v>82</v>
      </c>
      <c r="BC27" s="93" t="s">
        <v>82</v>
      </c>
      <c r="BD27" s="93" t="s">
        <v>82</v>
      </c>
      <c r="BE27" s="93" t="s">
        <v>82</v>
      </c>
      <c r="BF27" s="93" t="s">
        <v>82</v>
      </c>
    </row>
    <row r="28" spans="1:58" s="117" customFormat="1" x14ac:dyDescent="0.3">
      <c r="A28" s="3">
        <v>24</v>
      </c>
      <c r="B28" s="12" t="s">
        <v>109</v>
      </c>
      <c r="C28" s="95" t="s">
        <v>74</v>
      </c>
      <c r="D28" s="95" t="s">
        <v>76</v>
      </c>
      <c r="E28" s="95" t="s">
        <v>71</v>
      </c>
      <c r="F28" s="95" t="s">
        <v>79</v>
      </c>
      <c r="G28" s="95" t="s">
        <v>82</v>
      </c>
      <c r="H28" s="95" t="s">
        <v>177</v>
      </c>
      <c r="I28" s="95" t="s">
        <v>15</v>
      </c>
      <c r="J28" s="95">
        <v>2</v>
      </c>
      <c r="K28" s="87">
        <v>1050000</v>
      </c>
      <c r="L28" s="87">
        <v>470000</v>
      </c>
      <c r="M28" s="87">
        <v>500000</v>
      </c>
      <c r="N28" s="87">
        <v>298000</v>
      </c>
      <c r="O28" s="87">
        <f>(FarmerOUTCOMES[[#This Row],[1- Current revenue from fruits and veg]]-FarmerOUTCOMES[[#This Row],[Current costs of production for fruits and veg]])-(FarmerOUTCOMES[[#This Row],[Previous revenue from fruit and veg]]-FarmerOUTCOMES[[#This Row],[Previous cost of production for fruits andveg]])*(1-FarmerOUTCOMES[[#This Row],[1-CF factor]])</f>
        <v>378000</v>
      </c>
      <c r="P28" s="94" t="s">
        <v>79</v>
      </c>
      <c r="Q28" s="94" t="s">
        <v>15</v>
      </c>
      <c r="R28" s="94">
        <f>VLOOKUP(FarmerOUTCOMES[[#This Row],[DI-Group/Location]], CFfarmer1[],3,FALSE)</f>
        <v>0</v>
      </c>
      <c r="S28" t="s">
        <v>189</v>
      </c>
      <c r="T28" s="86">
        <v>1</v>
      </c>
      <c r="U28" s="87">
        <v>0</v>
      </c>
      <c r="V28" s="87">
        <v>0</v>
      </c>
      <c r="W28" s="87">
        <v>0</v>
      </c>
      <c r="X28" s="87">
        <f>SUM(FarmerOUTCOMES[[#This Row],[Value of benefit A]:[Value of benefit C]])*(1-FarmerOUTCOMES[[#This Row],[2-CF Factor]])</f>
        <v>0</v>
      </c>
      <c r="Y28" s="68">
        <f>VLOOKUP(FarmerOUTCOMES[[#This Row],[DI-Group/Location]],CFfarmer2[],3,FALSE)</f>
        <v>0</v>
      </c>
      <c r="Z28" s="157" t="s">
        <v>190</v>
      </c>
      <c r="AA28" s="41">
        <v>0</v>
      </c>
      <c r="AB28" s="41">
        <v>0</v>
      </c>
      <c r="AC28" s="41"/>
      <c r="AD28" s="87">
        <f>VLOOKUP(FarmerOUTCOMES[[#This Row],[DI-Group/Location]],CFfarmer3[],3,FALSE)</f>
        <v>0</v>
      </c>
      <c r="AE28" s="99" t="s">
        <v>191</v>
      </c>
      <c r="AF28" s="41">
        <v>0</v>
      </c>
      <c r="AG28" s="41">
        <v>0</v>
      </c>
      <c r="AH28" s="41"/>
      <c r="AI28" s="87">
        <v>0</v>
      </c>
      <c r="AJ28" s="99" t="s">
        <v>191</v>
      </c>
      <c r="AK28" s="52">
        <v>0</v>
      </c>
      <c r="AL28" s="52">
        <v>0</v>
      </c>
      <c r="AM28" s="52">
        <v>0</v>
      </c>
      <c r="AN28" s="87">
        <v>0</v>
      </c>
      <c r="AO28" s="87"/>
      <c r="AP28" s="52">
        <v>0</v>
      </c>
      <c r="AQ28" s="99" t="s">
        <v>192</v>
      </c>
      <c r="AR28" s="38" t="s">
        <v>82</v>
      </c>
      <c r="AS28" s="38"/>
      <c r="AT28" s="50">
        <v>0</v>
      </c>
      <c r="AU28" s="99" t="s">
        <v>193</v>
      </c>
      <c r="AV28" s="87" t="s">
        <v>82</v>
      </c>
      <c r="AW28" s="78" t="s">
        <v>82</v>
      </c>
      <c r="AX28" s="78" t="e">
        <f>IF(FarmerOUTCOMES[[#This Row],[Discretionary expenditure  ]]&lt;&gt;0,FarmerOUTCOMES[[#This Row],[Willingness to accept compensation]]/FarmerOUTCOMES[[#This Row],[Discretionary expenditure  ]],0)</f>
        <v>#VALUE!</v>
      </c>
      <c r="AY28" s="78"/>
      <c r="AZ28" s="68">
        <v>0</v>
      </c>
      <c r="BA28" s="99" t="s">
        <v>194</v>
      </c>
      <c r="BB28" s="93" t="s">
        <v>82</v>
      </c>
      <c r="BC28" s="93" t="s">
        <v>82</v>
      </c>
      <c r="BD28" s="93" t="s">
        <v>82</v>
      </c>
      <c r="BE28" s="93" t="s">
        <v>82</v>
      </c>
      <c r="BF28" s="93" t="s">
        <v>82</v>
      </c>
    </row>
    <row r="29" spans="1:58" s="117" customFormat="1" x14ac:dyDescent="0.3">
      <c r="A29" s="3">
        <v>25</v>
      </c>
      <c r="B29" s="12" t="s">
        <v>115</v>
      </c>
      <c r="C29" s="95" t="s">
        <v>75</v>
      </c>
      <c r="D29" s="95" t="s">
        <v>77</v>
      </c>
      <c r="E29" s="95" t="s">
        <v>71</v>
      </c>
      <c r="F29" s="95" t="s">
        <v>79</v>
      </c>
      <c r="G29" s="95" t="s">
        <v>82</v>
      </c>
      <c r="H29" s="95" t="s">
        <v>177</v>
      </c>
      <c r="I29" s="95" t="s">
        <v>79</v>
      </c>
      <c r="J29" s="95">
        <v>2</v>
      </c>
      <c r="K29" s="150">
        <v>0</v>
      </c>
      <c r="L29" s="150">
        <v>0</v>
      </c>
      <c r="M29" s="87">
        <v>408000</v>
      </c>
      <c r="N29" s="87">
        <v>388000</v>
      </c>
      <c r="O29" s="258">
        <f>(FarmerOUTCOMES[[#This Row],[1- Current revenue from fruits and veg]]-FarmerOUTCOMES[[#This Row],[Current costs of production for fruits and veg]])-(FarmerOUTCOMES[[#This Row],[Previous revenue from fruit and veg]]-FarmerOUTCOMES[[#This Row],[Previous cost of production for fruits andveg]])*(1-FarmerOUTCOMES[[#This Row],[1-CF factor]])</f>
        <v>-20000</v>
      </c>
      <c r="P29" s="94" t="s">
        <v>15</v>
      </c>
      <c r="Q29" s="94" t="s">
        <v>15</v>
      </c>
      <c r="R29" s="94">
        <f>VLOOKUP(FarmerOUTCOMES[[#This Row],[DI-Group/Location]], CFfarmer1[],3,FALSE)</f>
        <v>0</v>
      </c>
      <c r="S29" t="s">
        <v>189</v>
      </c>
      <c r="T29" s="86">
        <v>1</v>
      </c>
      <c r="U29" s="87">
        <v>0</v>
      </c>
      <c r="V29" s="87">
        <v>0</v>
      </c>
      <c r="W29" s="87">
        <v>40000</v>
      </c>
      <c r="X29" s="87">
        <f>SUM(FarmerOUTCOMES[[#This Row],[Value of benefit A]:[Value of benefit C]])*(1-FarmerOUTCOMES[[#This Row],[2-CF Factor]])</f>
        <v>40000</v>
      </c>
      <c r="Y29" s="87">
        <f>VLOOKUP(FarmerOUTCOMES[[#This Row],[DI-Group/Location]],CFfarmer2[],3,FALSE)</f>
        <v>0</v>
      </c>
      <c r="Z29" s="157" t="s">
        <v>190</v>
      </c>
      <c r="AA29" s="87">
        <v>150000</v>
      </c>
      <c r="AB29" s="87">
        <v>20000</v>
      </c>
      <c r="AC29" s="87"/>
      <c r="AD29" s="87">
        <v>0</v>
      </c>
      <c r="AE29" s="99" t="s">
        <v>191</v>
      </c>
      <c r="AF29" s="87">
        <v>80000</v>
      </c>
      <c r="AG29" s="87">
        <v>7000</v>
      </c>
      <c r="AH29" s="87"/>
      <c r="AI29" s="87">
        <v>0</v>
      </c>
      <c r="AJ29" s="99" t="s">
        <v>191</v>
      </c>
      <c r="AK29" s="52">
        <v>400000</v>
      </c>
      <c r="AL29" s="52">
        <v>10</v>
      </c>
      <c r="AM29" s="52">
        <v>5</v>
      </c>
      <c r="AN29" s="87">
        <v>0</v>
      </c>
      <c r="AO29" s="87"/>
      <c r="AP29" s="52">
        <v>0</v>
      </c>
      <c r="AQ29" s="99" t="s">
        <v>192</v>
      </c>
      <c r="AR29" s="38" t="s">
        <v>82</v>
      </c>
      <c r="AS29" s="38"/>
      <c r="AT29" s="50">
        <v>0</v>
      </c>
      <c r="AU29" s="99" t="s">
        <v>193</v>
      </c>
      <c r="AV29" s="87">
        <v>19000</v>
      </c>
      <c r="AW29" s="78">
        <v>30000</v>
      </c>
      <c r="AX29" s="273">
        <f>IF(FarmerOUTCOMES[[#This Row],[Discretionary expenditure  ]]&lt;&gt;0,FarmerOUTCOMES[[#This Row],[Willingness to accept compensation]]/FarmerOUTCOMES[[#This Row],[Discretionary expenditure  ]],0)</f>
        <v>1.5789473684210527</v>
      </c>
      <c r="AY29" s="78"/>
      <c r="AZ29" s="68">
        <v>0</v>
      </c>
      <c r="BA29" s="99" t="s">
        <v>194</v>
      </c>
      <c r="BB29" s="93" t="s">
        <v>82</v>
      </c>
      <c r="BC29" s="93" t="s">
        <v>82</v>
      </c>
      <c r="BD29" s="93" t="s">
        <v>82</v>
      </c>
      <c r="BE29" s="93" t="s">
        <v>82</v>
      </c>
      <c r="BF29" s="93" t="s">
        <v>82</v>
      </c>
    </row>
    <row r="30" spans="1:58" s="117" customFormat="1" x14ac:dyDescent="0.3">
      <c r="A30" s="3">
        <v>26</v>
      </c>
      <c r="B30" s="12" t="s">
        <v>117</v>
      </c>
      <c r="C30" s="95" t="s">
        <v>75</v>
      </c>
      <c r="D30" s="95" t="s">
        <v>77</v>
      </c>
      <c r="E30" s="95" t="s">
        <v>71</v>
      </c>
      <c r="F30" s="95" t="s">
        <v>79</v>
      </c>
      <c r="G30" s="95" t="s">
        <v>82</v>
      </c>
      <c r="H30" s="95" t="s">
        <v>67</v>
      </c>
      <c r="I30" s="95" t="s">
        <v>15</v>
      </c>
      <c r="J30" s="95">
        <v>1</v>
      </c>
      <c r="K30" s="87">
        <v>1800000</v>
      </c>
      <c r="L30" s="87">
        <v>325000</v>
      </c>
      <c r="M30" s="87">
        <v>1490000</v>
      </c>
      <c r="N30" s="87">
        <v>405000</v>
      </c>
      <c r="O30" s="87">
        <f>(FarmerOUTCOMES[[#This Row],[1- Current revenue from fruits and veg]]-FarmerOUTCOMES[[#This Row],[Current costs of production for fruits and veg]])-(FarmerOUTCOMES[[#This Row],[Previous revenue from fruit and veg]]-FarmerOUTCOMES[[#This Row],[Previous cost of production for fruits andveg]])*(1-FarmerOUTCOMES[[#This Row],[1-CF factor]])</f>
        <v>390000</v>
      </c>
      <c r="P30" s="94" t="s">
        <v>124</v>
      </c>
      <c r="Q30" s="94" t="s">
        <v>15</v>
      </c>
      <c r="R30" s="94">
        <f>VLOOKUP(FarmerOUTCOMES[[#This Row],[DI-Group/Location]], CFfarmer1[],3,FALSE)</f>
        <v>0</v>
      </c>
      <c r="S30" t="s">
        <v>195</v>
      </c>
      <c r="T30" s="86">
        <v>2</v>
      </c>
      <c r="U30" s="38">
        <v>5000</v>
      </c>
      <c r="V30" s="58">
        <v>1000</v>
      </c>
      <c r="W30" s="87">
        <v>0</v>
      </c>
      <c r="X30" s="87">
        <f>SUM(FarmerOUTCOMES[[#This Row],[Value of benefit A]:[Value of benefit C]])*(1-FarmerOUTCOMES[[#This Row],[2-CF Factor]])</f>
        <v>6000</v>
      </c>
      <c r="Y30" s="68">
        <f>VLOOKUP(FarmerOUTCOMES[[#This Row],[DI-Group/Location]],CFfarmer2[],3,FALSE)</f>
        <v>0</v>
      </c>
      <c r="Z30" s="157" t="s">
        <v>196</v>
      </c>
      <c r="AA30" s="38">
        <v>761000</v>
      </c>
      <c r="AB30" s="96">
        <v>20000</v>
      </c>
      <c r="AC30" s="96"/>
      <c r="AD30" s="87">
        <f>VLOOKUP(FarmerOUTCOMES[[#This Row],[DI-Group/Location]],CFfarmer3[],3,FALSE)</f>
        <v>0</v>
      </c>
      <c r="AE30" s="99" t="s">
        <v>197</v>
      </c>
      <c r="AF30" s="38">
        <v>0</v>
      </c>
      <c r="AG30" s="151">
        <v>20000</v>
      </c>
      <c r="AH30" s="38"/>
      <c r="AI30" s="87">
        <v>0</v>
      </c>
      <c r="AJ30" s="99" t="s">
        <v>197</v>
      </c>
      <c r="AK30" s="38">
        <v>0</v>
      </c>
      <c r="AL30" s="38">
        <v>0.1</v>
      </c>
      <c r="AM30" s="38">
        <v>0.1</v>
      </c>
      <c r="AN30" s="87" t="s">
        <v>82</v>
      </c>
      <c r="AO30" s="87"/>
      <c r="AP30" s="52">
        <v>0</v>
      </c>
      <c r="AQ30" s="99" t="s">
        <v>198</v>
      </c>
      <c r="AR30" s="179">
        <v>5000</v>
      </c>
      <c r="AS30" s="54"/>
      <c r="AT30" s="50">
        <v>0</v>
      </c>
      <c r="AU30" s="38" t="s">
        <v>82</v>
      </c>
      <c r="AV30" s="87">
        <v>240000</v>
      </c>
      <c r="AW30" s="71">
        <v>300000</v>
      </c>
      <c r="AX30" s="274">
        <f>IF(FarmerOUTCOMES[[#This Row],[Discretionary expenditure  ]]&lt;&gt;0,FarmerOUTCOMES[[#This Row],[Willingness to accept compensation]]/FarmerOUTCOMES[[#This Row],[Discretionary expenditure  ]],0)</f>
        <v>1.25</v>
      </c>
      <c r="AY30" s="71"/>
      <c r="AZ30" s="68">
        <v>0</v>
      </c>
      <c r="BA30" s="99" t="s">
        <v>199</v>
      </c>
      <c r="BB30" s="93" t="s">
        <v>82</v>
      </c>
      <c r="BC30" s="93" t="s">
        <v>82</v>
      </c>
      <c r="BD30" s="93" t="s">
        <v>82</v>
      </c>
      <c r="BE30" s="93" t="s">
        <v>82</v>
      </c>
      <c r="BF30" s="93" t="s">
        <v>82</v>
      </c>
    </row>
    <row r="31" spans="1:58" s="117" customFormat="1" x14ac:dyDescent="0.3">
      <c r="A31" s="3">
        <v>27</v>
      </c>
      <c r="B31" s="12" t="s">
        <v>118</v>
      </c>
      <c r="C31" s="95" t="s">
        <v>75</v>
      </c>
      <c r="D31" s="95" t="s">
        <v>76</v>
      </c>
      <c r="E31" s="95" t="s">
        <v>71</v>
      </c>
      <c r="F31" s="95" t="s">
        <v>79</v>
      </c>
      <c r="G31" s="95" t="s">
        <v>82</v>
      </c>
      <c r="H31" s="95" t="s">
        <v>67</v>
      </c>
      <c r="I31" s="95" t="s">
        <v>15</v>
      </c>
      <c r="J31" s="95">
        <v>1</v>
      </c>
      <c r="K31" s="87">
        <v>792000</v>
      </c>
      <c r="L31" s="87">
        <v>655000</v>
      </c>
      <c r="M31" s="87">
        <v>490000</v>
      </c>
      <c r="N31" s="87">
        <v>483000</v>
      </c>
      <c r="O31" s="87">
        <f>(FarmerOUTCOMES[[#This Row],[1- Current revenue from fruits and veg]]-FarmerOUTCOMES[[#This Row],[Current costs of production for fruits and veg]])-(FarmerOUTCOMES[[#This Row],[Previous revenue from fruit and veg]]-FarmerOUTCOMES[[#This Row],[Previous cost of production for fruits andveg]])*(1-FarmerOUTCOMES[[#This Row],[1-CF factor]])</f>
        <v>130000</v>
      </c>
      <c r="P31" s="94" t="s">
        <v>124</v>
      </c>
      <c r="Q31" s="94" t="s">
        <v>15</v>
      </c>
      <c r="R31" s="94">
        <f>VLOOKUP(FarmerOUTCOMES[[#This Row],[DI-Group/Location]], CFfarmer1[],3,FALSE)</f>
        <v>0</v>
      </c>
      <c r="S31" t="s">
        <v>195</v>
      </c>
      <c r="T31" s="86">
        <v>1</v>
      </c>
      <c r="U31" s="38">
        <v>10000</v>
      </c>
      <c r="V31" s="58">
        <v>7000</v>
      </c>
      <c r="W31" s="87">
        <v>0</v>
      </c>
      <c r="X31" s="87">
        <f>SUM(FarmerOUTCOMES[[#This Row],[Value of benefit A]:[Value of benefit C]])*(1-FarmerOUTCOMES[[#This Row],[2-CF Factor]])</f>
        <v>17000</v>
      </c>
      <c r="Y31" s="68">
        <f>VLOOKUP(FarmerOUTCOMES[[#This Row],[DI-Group/Location]],CFfarmer2[],3,FALSE)</f>
        <v>0</v>
      </c>
      <c r="Z31" s="157" t="s">
        <v>196</v>
      </c>
      <c r="AA31" s="38">
        <v>4000</v>
      </c>
      <c r="AB31" s="96">
        <v>20000</v>
      </c>
      <c r="AC31" s="96"/>
      <c r="AD31" s="87">
        <f>VLOOKUP(FarmerOUTCOMES[[#This Row],[DI-Group/Location]],CFfarmer3[],3,FALSE)</f>
        <v>0</v>
      </c>
      <c r="AE31" s="99" t="s">
        <v>197</v>
      </c>
      <c r="AF31" s="41">
        <v>0</v>
      </c>
      <c r="AG31" s="151">
        <v>20000</v>
      </c>
      <c r="AH31" s="38"/>
      <c r="AI31" s="87">
        <v>0</v>
      </c>
      <c r="AJ31" s="99" t="s">
        <v>197</v>
      </c>
      <c r="AK31" s="38">
        <v>0</v>
      </c>
      <c r="AL31" s="38">
        <v>0.1</v>
      </c>
      <c r="AM31" s="38">
        <v>0.1</v>
      </c>
      <c r="AN31" s="87" t="s">
        <v>82</v>
      </c>
      <c r="AO31" s="87"/>
      <c r="AP31" s="52">
        <v>0</v>
      </c>
      <c r="AQ31" s="99" t="s">
        <v>198</v>
      </c>
      <c r="AR31" s="179">
        <v>5000</v>
      </c>
      <c r="AS31" s="54"/>
      <c r="AT31" s="50">
        <v>0</v>
      </c>
      <c r="AU31" s="38" t="s">
        <v>82</v>
      </c>
      <c r="AV31" s="49" t="s">
        <v>82</v>
      </c>
      <c r="AW31" s="72" t="s">
        <v>82</v>
      </c>
      <c r="AX31" s="72" t="e">
        <f>IF(FarmerOUTCOMES[[#This Row],[Discretionary expenditure  ]]&lt;&gt;0,FarmerOUTCOMES[[#This Row],[Willingness to accept compensation]]/FarmerOUTCOMES[[#This Row],[Discretionary expenditure  ]],0)</f>
        <v>#VALUE!</v>
      </c>
      <c r="AY31" s="72"/>
      <c r="AZ31" s="68">
        <v>0</v>
      </c>
      <c r="BA31" s="99" t="s">
        <v>199</v>
      </c>
      <c r="BB31" s="93" t="s">
        <v>82</v>
      </c>
      <c r="BC31" s="93" t="s">
        <v>82</v>
      </c>
      <c r="BD31" s="93" t="s">
        <v>82</v>
      </c>
      <c r="BE31" s="93" t="s">
        <v>82</v>
      </c>
      <c r="BF31" s="93" t="s">
        <v>82</v>
      </c>
    </row>
    <row r="32" spans="1:58" s="117" customFormat="1" x14ac:dyDescent="0.3">
      <c r="A32" s="3">
        <v>28</v>
      </c>
      <c r="B32" s="12" t="s">
        <v>119</v>
      </c>
      <c r="C32" s="95" t="s">
        <v>75</v>
      </c>
      <c r="D32" s="95" t="s">
        <v>77</v>
      </c>
      <c r="E32" s="95" t="s">
        <v>71</v>
      </c>
      <c r="F32" s="95" t="s">
        <v>79</v>
      </c>
      <c r="G32" s="95" t="s">
        <v>82</v>
      </c>
      <c r="H32" s="95" t="s">
        <v>67</v>
      </c>
      <c r="I32" s="95" t="s">
        <v>15</v>
      </c>
      <c r="J32" s="95">
        <v>1</v>
      </c>
      <c r="K32" s="87">
        <v>1400000</v>
      </c>
      <c r="L32" s="87">
        <v>420000</v>
      </c>
      <c r="M32" s="87">
        <v>405000</v>
      </c>
      <c r="N32" s="87">
        <v>384000</v>
      </c>
      <c r="O32" s="87">
        <f>(FarmerOUTCOMES[[#This Row],[1- Current revenue from fruits and veg]]-FarmerOUTCOMES[[#This Row],[Current costs of production for fruits and veg]])-(FarmerOUTCOMES[[#This Row],[Previous revenue from fruit and veg]]-FarmerOUTCOMES[[#This Row],[Previous cost of production for fruits andveg]])*(1-FarmerOUTCOMES[[#This Row],[1-CF factor]])</f>
        <v>959000</v>
      </c>
      <c r="P32" s="94" t="s">
        <v>124</v>
      </c>
      <c r="Q32" s="94" t="s">
        <v>15</v>
      </c>
      <c r="R32" s="94">
        <f>VLOOKUP(FarmerOUTCOMES[[#This Row],[DI-Group/Location]], CFfarmer1[],3,FALSE)</f>
        <v>0</v>
      </c>
      <c r="S32" t="s">
        <v>195</v>
      </c>
      <c r="T32" s="86">
        <v>1</v>
      </c>
      <c r="U32" s="38">
        <v>10000</v>
      </c>
      <c r="V32" s="58">
        <v>3000</v>
      </c>
      <c r="W32" s="87">
        <v>0</v>
      </c>
      <c r="X32" s="87">
        <f>SUM(FarmerOUTCOMES[[#This Row],[Value of benefit A]:[Value of benefit C]])*(1-FarmerOUTCOMES[[#This Row],[2-CF Factor]])</f>
        <v>13000</v>
      </c>
      <c r="Y32" s="68">
        <f>VLOOKUP(FarmerOUTCOMES[[#This Row],[DI-Group/Location]],CFfarmer2[],3,FALSE)</f>
        <v>0</v>
      </c>
      <c r="Z32" s="157" t="s">
        <v>196</v>
      </c>
      <c r="AA32" s="38">
        <v>19000</v>
      </c>
      <c r="AB32" s="96">
        <v>40000</v>
      </c>
      <c r="AC32" s="96"/>
      <c r="AD32" s="87">
        <f>VLOOKUP(FarmerOUTCOMES[[#This Row],[DI-Group/Location]],CFfarmer3[],3,FALSE)</f>
        <v>0</v>
      </c>
      <c r="AE32" s="99" t="s">
        <v>197</v>
      </c>
      <c r="AF32" s="41">
        <v>0</v>
      </c>
      <c r="AG32" s="151">
        <v>30000</v>
      </c>
      <c r="AH32" s="38"/>
      <c r="AI32" s="87">
        <v>0</v>
      </c>
      <c r="AJ32" s="99" t="s">
        <v>197</v>
      </c>
      <c r="AK32" s="38">
        <v>0</v>
      </c>
      <c r="AL32" s="38">
        <v>0.1</v>
      </c>
      <c r="AM32" s="38">
        <v>0.1</v>
      </c>
      <c r="AN32" s="87" t="s">
        <v>82</v>
      </c>
      <c r="AO32" s="87"/>
      <c r="AP32" s="52">
        <v>0</v>
      </c>
      <c r="AQ32" s="99" t="s">
        <v>198</v>
      </c>
      <c r="AR32" s="179">
        <v>10000</v>
      </c>
      <c r="AS32" s="54"/>
      <c r="AT32" s="50">
        <v>0</v>
      </c>
      <c r="AU32" s="38" t="s">
        <v>82</v>
      </c>
      <c r="AV32" s="87">
        <v>200000</v>
      </c>
      <c r="AW32" s="72">
        <v>350000</v>
      </c>
      <c r="AX32" s="274">
        <f>IF(FarmerOUTCOMES[[#This Row],[Discretionary expenditure  ]]&lt;&gt;0,FarmerOUTCOMES[[#This Row],[Willingness to accept compensation]]/FarmerOUTCOMES[[#This Row],[Discretionary expenditure  ]],0)</f>
        <v>1.75</v>
      </c>
      <c r="AY32" s="72"/>
      <c r="AZ32" s="68">
        <v>0</v>
      </c>
      <c r="BA32" s="99" t="s">
        <v>199</v>
      </c>
      <c r="BB32" s="93" t="s">
        <v>82</v>
      </c>
      <c r="BC32" s="93" t="s">
        <v>82</v>
      </c>
      <c r="BD32" s="93" t="s">
        <v>82</v>
      </c>
      <c r="BE32" s="93" t="s">
        <v>82</v>
      </c>
      <c r="BF32" s="93" t="s">
        <v>82</v>
      </c>
    </row>
    <row r="33" spans="1:58" s="117" customFormat="1" x14ac:dyDescent="0.3">
      <c r="A33" s="3">
        <v>29</v>
      </c>
      <c r="B33" s="12" t="s">
        <v>120</v>
      </c>
      <c r="C33" s="95" t="s">
        <v>75</v>
      </c>
      <c r="D33" s="95" t="s">
        <v>77</v>
      </c>
      <c r="E33" s="95" t="s">
        <v>71</v>
      </c>
      <c r="F33" s="95" t="s">
        <v>79</v>
      </c>
      <c r="G33" s="95" t="s">
        <v>82</v>
      </c>
      <c r="H33" s="95" t="s">
        <v>67</v>
      </c>
      <c r="I33" s="95" t="s">
        <v>79</v>
      </c>
      <c r="J33" s="95">
        <v>1</v>
      </c>
      <c r="K33" s="87">
        <v>716000</v>
      </c>
      <c r="L33" s="87">
        <v>405000</v>
      </c>
      <c r="M33" s="87">
        <v>242000</v>
      </c>
      <c r="N33" s="87">
        <v>390000</v>
      </c>
      <c r="O33" s="87">
        <f>(FarmerOUTCOMES[[#This Row],[1- Current revenue from fruits and veg]]-FarmerOUTCOMES[[#This Row],[Current costs of production for fruits and veg]])-(FarmerOUTCOMES[[#This Row],[Previous revenue from fruit and veg]]-FarmerOUTCOMES[[#This Row],[Previous cost of production for fruits andveg]])*(1-FarmerOUTCOMES[[#This Row],[1-CF factor]])</f>
        <v>459000</v>
      </c>
      <c r="P33" s="94" t="s">
        <v>124</v>
      </c>
      <c r="Q33" s="94" t="s">
        <v>15</v>
      </c>
      <c r="R33" s="94">
        <f>VLOOKUP(FarmerOUTCOMES[[#This Row],[DI-Group/Location]], CFfarmer1[],3,FALSE)</f>
        <v>0</v>
      </c>
      <c r="S33" t="s">
        <v>195</v>
      </c>
      <c r="T33" s="86">
        <v>1</v>
      </c>
      <c r="U33" s="38">
        <v>10000</v>
      </c>
      <c r="V33" s="58">
        <v>10000</v>
      </c>
      <c r="W33" s="87">
        <v>0</v>
      </c>
      <c r="X33" s="87">
        <f>SUM(FarmerOUTCOMES[[#This Row],[Value of benefit A]:[Value of benefit C]])*(1-FarmerOUTCOMES[[#This Row],[2-CF Factor]])</f>
        <v>20000</v>
      </c>
      <c r="Y33" s="68">
        <f>VLOOKUP(FarmerOUTCOMES[[#This Row],[DI-Group/Location]],CFfarmer2[],3,FALSE)</f>
        <v>0</v>
      </c>
      <c r="Z33" s="157" t="s">
        <v>196</v>
      </c>
      <c r="AA33" s="38">
        <v>1000</v>
      </c>
      <c r="AB33" s="96">
        <v>20000</v>
      </c>
      <c r="AC33" s="96"/>
      <c r="AD33" s="87">
        <f>VLOOKUP(FarmerOUTCOMES[[#This Row],[DI-Group/Location]],CFfarmer3[],3,FALSE)</f>
        <v>0</v>
      </c>
      <c r="AE33" s="99" t="s">
        <v>197</v>
      </c>
      <c r="AF33" s="41">
        <v>0</v>
      </c>
      <c r="AG33" s="151">
        <v>10000</v>
      </c>
      <c r="AH33" s="38"/>
      <c r="AI33" s="87">
        <v>0</v>
      </c>
      <c r="AJ33" s="99" t="s">
        <v>197</v>
      </c>
      <c r="AK33" s="38">
        <v>0</v>
      </c>
      <c r="AL33" s="38">
        <v>0.1</v>
      </c>
      <c r="AM33" s="38">
        <v>0.1</v>
      </c>
      <c r="AN33" s="87" t="s">
        <v>82</v>
      </c>
      <c r="AO33" s="87"/>
      <c r="AP33" s="52">
        <v>0</v>
      </c>
      <c r="AQ33" s="99" t="s">
        <v>198</v>
      </c>
      <c r="AR33" s="179">
        <v>5000</v>
      </c>
      <c r="AS33" s="54"/>
      <c r="AT33" s="50">
        <v>0</v>
      </c>
      <c r="AU33" s="38" t="s">
        <v>82</v>
      </c>
      <c r="AV33" s="87">
        <v>245000</v>
      </c>
      <c r="AW33" s="71">
        <v>200000</v>
      </c>
      <c r="AX33" s="274">
        <f>IF(FarmerOUTCOMES[[#This Row],[Discretionary expenditure  ]]&lt;&gt;0,FarmerOUTCOMES[[#This Row],[Willingness to accept compensation]]/FarmerOUTCOMES[[#This Row],[Discretionary expenditure  ]],0)</f>
        <v>0.81632653061224492</v>
      </c>
      <c r="AY33" s="71"/>
      <c r="AZ33" s="68">
        <v>0</v>
      </c>
      <c r="BA33" s="99" t="s">
        <v>199</v>
      </c>
      <c r="BB33" s="93" t="s">
        <v>82</v>
      </c>
      <c r="BC33" s="93" t="s">
        <v>82</v>
      </c>
      <c r="BD33" s="93" t="s">
        <v>82</v>
      </c>
      <c r="BE33" s="93" t="s">
        <v>82</v>
      </c>
      <c r="BF33" s="93" t="s">
        <v>82</v>
      </c>
    </row>
    <row r="34" spans="1:58" s="117" customFormat="1" x14ac:dyDescent="0.3">
      <c r="A34" s="3">
        <v>30</v>
      </c>
      <c r="B34" s="12" t="s">
        <v>121</v>
      </c>
      <c r="C34" s="95" t="s">
        <v>75</v>
      </c>
      <c r="D34" s="95" t="s">
        <v>77</v>
      </c>
      <c r="E34" s="95" t="s">
        <v>71</v>
      </c>
      <c r="F34" s="95" t="s">
        <v>79</v>
      </c>
      <c r="G34" s="95" t="s">
        <v>82</v>
      </c>
      <c r="H34" s="95" t="s">
        <v>67</v>
      </c>
      <c r="I34" s="95" t="s">
        <v>15</v>
      </c>
      <c r="J34" s="95">
        <v>1</v>
      </c>
      <c r="K34" s="258">
        <v>5200000</v>
      </c>
      <c r="L34" s="87">
        <v>885000</v>
      </c>
      <c r="M34" s="87">
        <v>1950000</v>
      </c>
      <c r="N34" s="87">
        <v>585000</v>
      </c>
      <c r="O34" s="258">
        <f>(FarmerOUTCOMES[[#This Row],[1- Current revenue from fruits and veg]]-FarmerOUTCOMES[[#This Row],[Current costs of production for fruits and veg]])-(FarmerOUTCOMES[[#This Row],[Previous revenue from fruit and veg]]-FarmerOUTCOMES[[#This Row],[Previous cost of production for fruits andveg]])*(1-FarmerOUTCOMES[[#This Row],[1-CF factor]])</f>
        <v>2950000</v>
      </c>
      <c r="P34" s="94" t="s">
        <v>79</v>
      </c>
      <c r="Q34" s="94" t="s">
        <v>15</v>
      </c>
      <c r="R34" s="94">
        <f>VLOOKUP(FarmerOUTCOMES[[#This Row],[DI-Group/Location]], CFfarmer1[],3,FALSE)</f>
        <v>0</v>
      </c>
      <c r="S34" t="s">
        <v>195</v>
      </c>
      <c r="T34" s="86">
        <v>2</v>
      </c>
      <c r="U34" s="38">
        <v>7000</v>
      </c>
      <c r="V34" s="58">
        <v>5000</v>
      </c>
      <c r="W34" s="87">
        <v>0</v>
      </c>
      <c r="X34" s="87">
        <f>SUM(FarmerOUTCOMES[[#This Row],[Value of benefit A]:[Value of benefit C]])*(1-FarmerOUTCOMES[[#This Row],[2-CF Factor]])</f>
        <v>12000</v>
      </c>
      <c r="Y34" s="68">
        <f>VLOOKUP(FarmerOUTCOMES[[#This Row],[DI-Group/Location]],CFfarmer2[],3,FALSE)</f>
        <v>0</v>
      </c>
      <c r="Z34" s="157" t="s">
        <v>196</v>
      </c>
      <c r="AA34" s="38">
        <v>1000</v>
      </c>
      <c r="AB34" s="96">
        <v>20000</v>
      </c>
      <c r="AC34" s="96"/>
      <c r="AD34" s="87">
        <f>VLOOKUP(FarmerOUTCOMES[[#This Row],[DI-Group/Location]],CFfarmer3[],3,FALSE)</f>
        <v>0</v>
      </c>
      <c r="AE34" s="99" t="s">
        <v>197</v>
      </c>
      <c r="AF34" s="41">
        <v>0</v>
      </c>
      <c r="AG34" s="151">
        <v>10000</v>
      </c>
      <c r="AH34" s="38"/>
      <c r="AI34" s="87">
        <v>0</v>
      </c>
      <c r="AJ34" s="99" t="s">
        <v>197</v>
      </c>
      <c r="AK34" s="38">
        <v>0</v>
      </c>
      <c r="AL34" s="38">
        <v>0.1</v>
      </c>
      <c r="AM34" s="38">
        <v>0.1</v>
      </c>
      <c r="AN34" s="87" t="s">
        <v>82</v>
      </c>
      <c r="AO34" s="87"/>
      <c r="AP34" s="52">
        <v>0</v>
      </c>
      <c r="AQ34" s="99" t="s">
        <v>198</v>
      </c>
      <c r="AR34" s="179">
        <v>3000</v>
      </c>
      <c r="AS34" s="54"/>
      <c r="AT34" s="50">
        <v>0</v>
      </c>
      <c r="AU34" s="38" t="s">
        <v>82</v>
      </c>
      <c r="AV34" s="49" t="s">
        <v>82</v>
      </c>
      <c r="AW34" s="259">
        <v>800000</v>
      </c>
      <c r="AX34" s="259" t="e">
        <f>IF(FarmerOUTCOMES[[#This Row],[Discretionary expenditure  ]]&lt;&gt;0,FarmerOUTCOMES[[#This Row],[Willingness to accept compensation]]/FarmerOUTCOMES[[#This Row],[Discretionary expenditure  ]],0)</f>
        <v>#VALUE!</v>
      </c>
      <c r="AY34" s="71"/>
      <c r="AZ34" s="68">
        <v>0</v>
      </c>
      <c r="BA34" s="99" t="s">
        <v>199</v>
      </c>
      <c r="BB34" s="93" t="s">
        <v>82</v>
      </c>
      <c r="BC34" s="93" t="s">
        <v>82</v>
      </c>
      <c r="BD34" s="93" t="s">
        <v>82</v>
      </c>
      <c r="BE34" s="93" t="s">
        <v>82</v>
      </c>
      <c r="BF34" s="93" t="s">
        <v>82</v>
      </c>
    </row>
    <row r="35" spans="1:58" s="117" customFormat="1" x14ac:dyDescent="0.3">
      <c r="A35" s="3">
        <v>31</v>
      </c>
      <c r="B35" s="12" t="s">
        <v>122</v>
      </c>
      <c r="C35" s="95" t="s">
        <v>75</v>
      </c>
      <c r="D35" s="95" t="s">
        <v>77</v>
      </c>
      <c r="E35" s="95" t="s">
        <v>71</v>
      </c>
      <c r="F35" s="95" t="s">
        <v>79</v>
      </c>
      <c r="G35" s="95" t="s">
        <v>82</v>
      </c>
      <c r="H35" s="95" t="s">
        <v>67</v>
      </c>
      <c r="I35" s="95" t="s">
        <v>15</v>
      </c>
      <c r="J35" s="95">
        <v>1</v>
      </c>
      <c r="K35" s="87">
        <v>81000</v>
      </c>
      <c r="L35" s="87">
        <v>81000</v>
      </c>
      <c r="M35" s="87">
        <v>38000</v>
      </c>
      <c r="N35" s="87">
        <v>53500</v>
      </c>
      <c r="O35" s="87">
        <f>(FarmerOUTCOMES[[#This Row],[1- Current revenue from fruits and veg]]-FarmerOUTCOMES[[#This Row],[Current costs of production for fruits and veg]])-(FarmerOUTCOMES[[#This Row],[Previous revenue from fruit and veg]]-FarmerOUTCOMES[[#This Row],[Previous cost of production for fruits andveg]])*(1-FarmerOUTCOMES[[#This Row],[1-CF factor]])</f>
        <v>15500</v>
      </c>
      <c r="P35" s="94" t="s">
        <v>79</v>
      </c>
      <c r="Q35" s="94" t="s">
        <v>15</v>
      </c>
      <c r="R35" s="94">
        <f>VLOOKUP(FarmerOUTCOMES[[#This Row],[DI-Group/Location]], CFfarmer1[],3,FALSE)</f>
        <v>0</v>
      </c>
      <c r="S35" t="s">
        <v>195</v>
      </c>
      <c r="T35" s="86">
        <v>1</v>
      </c>
      <c r="U35" s="38">
        <v>5000</v>
      </c>
      <c r="V35" s="58">
        <v>5000</v>
      </c>
      <c r="W35" s="87">
        <v>0</v>
      </c>
      <c r="X35" s="87">
        <f>SUM(FarmerOUTCOMES[[#This Row],[Value of benefit A]:[Value of benefit C]])*(1-FarmerOUTCOMES[[#This Row],[2-CF Factor]])</f>
        <v>10000</v>
      </c>
      <c r="Y35" s="68">
        <f>VLOOKUP(FarmerOUTCOMES[[#This Row],[DI-Group/Location]],CFfarmer2[],3,FALSE)</f>
        <v>0</v>
      </c>
      <c r="Z35" s="157" t="s">
        <v>196</v>
      </c>
      <c r="AA35" s="38">
        <v>34000</v>
      </c>
      <c r="AB35" s="96">
        <v>8000</v>
      </c>
      <c r="AC35" s="96"/>
      <c r="AD35" s="87">
        <f>VLOOKUP(FarmerOUTCOMES[[#This Row],[DI-Group/Location]],CFfarmer3[],3,FALSE)</f>
        <v>0</v>
      </c>
      <c r="AE35" s="99" t="s">
        <v>197</v>
      </c>
      <c r="AF35" s="41">
        <v>0</v>
      </c>
      <c r="AG35" s="151">
        <v>10000</v>
      </c>
      <c r="AH35" s="38"/>
      <c r="AI35" s="87">
        <v>0</v>
      </c>
      <c r="AJ35" s="99" t="s">
        <v>197</v>
      </c>
      <c r="AK35" s="38">
        <v>0</v>
      </c>
      <c r="AL35" s="38">
        <v>0.1</v>
      </c>
      <c r="AM35" s="38">
        <v>0.1</v>
      </c>
      <c r="AN35" s="87" t="s">
        <v>82</v>
      </c>
      <c r="AO35" s="87"/>
      <c r="AP35" s="52">
        <v>0</v>
      </c>
      <c r="AQ35" s="99" t="s">
        <v>198</v>
      </c>
      <c r="AR35" s="179">
        <v>5000</v>
      </c>
      <c r="AS35" s="54"/>
      <c r="AT35" s="50">
        <v>0</v>
      </c>
      <c r="AU35" s="38" t="s">
        <v>82</v>
      </c>
      <c r="AV35" s="87">
        <v>125000</v>
      </c>
      <c r="AW35" s="73">
        <v>50000</v>
      </c>
      <c r="AX35" s="275">
        <f>IF(FarmerOUTCOMES[[#This Row],[Discretionary expenditure  ]]&lt;&gt;0,FarmerOUTCOMES[[#This Row],[Willingness to accept compensation]]/FarmerOUTCOMES[[#This Row],[Discretionary expenditure  ]],0)</f>
        <v>0.4</v>
      </c>
      <c r="AY35" s="73"/>
      <c r="AZ35" s="68">
        <v>0</v>
      </c>
      <c r="BA35" s="99" t="s">
        <v>199</v>
      </c>
      <c r="BB35" s="93" t="s">
        <v>82</v>
      </c>
      <c r="BC35" s="93" t="s">
        <v>82</v>
      </c>
      <c r="BD35" s="93" t="s">
        <v>82</v>
      </c>
      <c r="BE35" s="93" t="s">
        <v>82</v>
      </c>
      <c r="BF35" s="93" t="s">
        <v>82</v>
      </c>
    </row>
    <row r="36" spans="1:58" s="117" customFormat="1" x14ac:dyDescent="0.3">
      <c r="A36" s="3">
        <v>32</v>
      </c>
      <c r="B36" s="12" t="s">
        <v>123</v>
      </c>
      <c r="C36" s="95" t="s">
        <v>75</v>
      </c>
      <c r="D36" s="95" t="s">
        <v>77</v>
      </c>
      <c r="E36" s="95" t="s">
        <v>71</v>
      </c>
      <c r="F36" s="95" t="s">
        <v>79</v>
      </c>
      <c r="G36" s="95" t="s">
        <v>82</v>
      </c>
      <c r="H36" s="95" t="s">
        <v>67</v>
      </c>
      <c r="I36" s="95" t="s">
        <v>15</v>
      </c>
      <c r="J36" s="95">
        <v>1</v>
      </c>
      <c r="K36" s="87">
        <v>1100000</v>
      </c>
      <c r="L36" s="87">
        <v>346000</v>
      </c>
      <c r="M36" s="87">
        <v>480000</v>
      </c>
      <c r="N36" s="87">
        <v>375000</v>
      </c>
      <c r="O36" s="87">
        <f>(FarmerOUTCOMES[[#This Row],[1- Current revenue from fruits and veg]]-FarmerOUTCOMES[[#This Row],[Current costs of production for fruits and veg]])-(FarmerOUTCOMES[[#This Row],[Previous revenue from fruit and veg]]-FarmerOUTCOMES[[#This Row],[Previous cost of production for fruits andveg]])*(1-FarmerOUTCOMES[[#This Row],[1-CF factor]])</f>
        <v>649000</v>
      </c>
      <c r="P36" s="94" t="s">
        <v>79</v>
      </c>
      <c r="Q36" s="94" t="s">
        <v>15</v>
      </c>
      <c r="R36" s="94">
        <f>VLOOKUP(FarmerOUTCOMES[[#This Row],[DI-Group/Location]], CFfarmer1[],3,FALSE)</f>
        <v>0</v>
      </c>
      <c r="S36" t="s">
        <v>195</v>
      </c>
      <c r="T36" s="86">
        <v>1</v>
      </c>
      <c r="U36" s="52">
        <v>0</v>
      </c>
      <c r="V36" s="53">
        <v>0</v>
      </c>
      <c r="W36" s="87">
        <v>0</v>
      </c>
      <c r="X36" s="87">
        <f>SUM(FarmerOUTCOMES[[#This Row],[Value of benefit A]:[Value of benefit C]])*(1-FarmerOUTCOMES[[#This Row],[2-CF Factor]])</f>
        <v>0</v>
      </c>
      <c r="Y36" s="68">
        <f>VLOOKUP(FarmerOUTCOMES[[#This Row],[DI-Group/Location]],CFfarmer2[],3,FALSE)</f>
        <v>0</v>
      </c>
      <c r="Z36" s="157" t="s">
        <v>196</v>
      </c>
      <c r="AA36" s="38">
        <v>60000</v>
      </c>
      <c r="AB36" s="96">
        <v>40000</v>
      </c>
      <c r="AC36" s="96"/>
      <c r="AD36" s="87">
        <f>VLOOKUP(FarmerOUTCOMES[[#This Row],[DI-Group/Location]],CFfarmer3[],3,FALSE)</f>
        <v>0</v>
      </c>
      <c r="AE36" s="99" t="s">
        <v>197</v>
      </c>
      <c r="AF36" s="41">
        <v>0</v>
      </c>
      <c r="AG36" s="151">
        <v>20000</v>
      </c>
      <c r="AH36" s="38"/>
      <c r="AI36" s="87">
        <v>0</v>
      </c>
      <c r="AJ36" s="99" t="s">
        <v>197</v>
      </c>
      <c r="AK36" s="38">
        <v>0</v>
      </c>
      <c r="AL36" s="38">
        <v>0.1</v>
      </c>
      <c r="AM36" s="38">
        <v>0.1</v>
      </c>
      <c r="AN36" s="87" t="s">
        <v>82</v>
      </c>
      <c r="AO36" s="87"/>
      <c r="AP36" s="52">
        <v>0</v>
      </c>
      <c r="AQ36" s="99" t="s">
        <v>198</v>
      </c>
      <c r="AR36" s="54" t="s">
        <v>82</v>
      </c>
      <c r="AS36" s="54"/>
      <c r="AT36" s="50">
        <v>0</v>
      </c>
      <c r="AU36" s="38" t="s">
        <v>82</v>
      </c>
      <c r="AV36" s="49">
        <v>0</v>
      </c>
      <c r="AW36" s="72">
        <v>0</v>
      </c>
      <c r="AX36" s="274">
        <f>IF(FarmerOUTCOMES[[#This Row],[Discretionary expenditure  ]]&lt;&gt;0,FarmerOUTCOMES[[#This Row],[Willingness to accept compensation]]/FarmerOUTCOMES[[#This Row],[Discretionary expenditure  ]],0)</f>
        <v>0</v>
      </c>
      <c r="AY36" s="72"/>
      <c r="AZ36" s="68">
        <v>0</v>
      </c>
      <c r="BA36" s="99" t="s">
        <v>199</v>
      </c>
      <c r="BB36" s="93" t="s">
        <v>82</v>
      </c>
      <c r="BC36" s="93" t="s">
        <v>82</v>
      </c>
      <c r="BD36" s="93" t="s">
        <v>82</v>
      </c>
      <c r="BE36" s="93" t="s">
        <v>82</v>
      </c>
      <c r="BF36" s="93" t="s">
        <v>82</v>
      </c>
    </row>
    <row r="37" spans="1:58" s="117" customFormat="1" x14ac:dyDescent="0.3">
      <c r="A37" s="3">
        <v>33</v>
      </c>
      <c r="B37" s="12" t="s">
        <v>165</v>
      </c>
      <c r="C37" s="95" t="s">
        <v>75</v>
      </c>
      <c r="D37" s="95" t="s">
        <v>77</v>
      </c>
      <c r="E37" s="95" t="s">
        <v>71</v>
      </c>
      <c r="F37" s="95" t="s">
        <v>15</v>
      </c>
      <c r="G37" s="95" t="s">
        <v>82</v>
      </c>
      <c r="H37" s="95" t="s">
        <v>175</v>
      </c>
      <c r="I37" s="95" t="s">
        <v>79</v>
      </c>
      <c r="J37" s="95">
        <v>1</v>
      </c>
      <c r="K37" s="38">
        <v>725000</v>
      </c>
      <c r="L37" s="101">
        <v>304000</v>
      </c>
      <c r="M37" s="49">
        <v>680000</v>
      </c>
      <c r="N37" s="52">
        <v>320000</v>
      </c>
      <c r="O37" s="265">
        <f>(FarmerOUTCOMES[[#This Row],[1- Current revenue from fruits and veg]]-FarmerOUTCOMES[[#This Row],[Current costs of production for fruits and veg]])-(FarmerOUTCOMES[[#This Row],[Previous revenue from fruit and veg]]-FarmerOUTCOMES[[#This Row],[Previous cost of production for fruits andveg]])*(1-FarmerOUTCOMES[[#This Row],[1-CF factor]])</f>
        <v>61000</v>
      </c>
      <c r="P37" s="94" t="s">
        <v>124</v>
      </c>
      <c r="Q37" s="94" t="s">
        <v>15</v>
      </c>
      <c r="R37" s="94">
        <f>VLOOKUP(FarmerOUTCOMES[[#This Row],[DI-Group/Location]], CFfarmer1[],3,FALSE)</f>
        <v>0</v>
      </c>
      <c r="S37" t="s">
        <v>200</v>
      </c>
      <c r="T37" s="86">
        <v>2</v>
      </c>
      <c r="U37" s="85">
        <v>0</v>
      </c>
      <c r="V37" s="97">
        <v>30000</v>
      </c>
      <c r="W37" s="97">
        <v>20000</v>
      </c>
      <c r="X37" s="97">
        <f>SUM(FarmerOUTCOMES[[#This Row],[Value of benefit A]:[Value of benefit C]])*(1-FarmerOUTCOMES[[#This Row],[2-CF Factor]])</f>
        <v>50000</v>
      </c>
      <c r="Y37" s="97">
        <f>VLOOKUP(FarmerOUTCOMES[[#This Row],[DI-Group/Location]],CFfarmer2[],3,FALSE)</f>
        <v>0</v>
      </c>
      <c r="Z37" s="157" t="s">
        <v>201</v>
      </c>
      <c r="AA37" s="38">
        <v>148000</v>
      </c>
      <c r="AB37" s="38">
        <v>120000</v>
      </c>
      <c r="AC37" s="38"/>
      <c r="AD37" s="87">
        <v>0</v>
      </c>
      <c r="AE37" s="99" t="s">
        <v>202</v>
      </c>
      <c r="AF37" s="115">
        <v>100000</v>
      </c>
      <c r="AG37" s="77">
        <v>5000</v>
      </c>
      <c r="AH37" s="77"/>
      <c r="AI37" s="87">
        <v>0</v>
      </c>
      <c r="AJ37" s="99" t="s">
        <v>202</v>
      </c>
      <c r="AK37" s="87">
        <v>600000</v>
      </c>
      <c r="AL37" s="38">
        <v>0.1</v>
      </c>
      <c r="AM37" s="38">
        <v>5</v>
      </c>
      <c r="AN37" s="87" t="s">
        <v>82</v>
      </c>
      <c r="AO37" s="87"/>
      <c r="AP37" s="52">
        <v>0</v>
      </c>
      <c r="AQ37" s="99" t="s">
        <v>203</v>
      </c>
      <c r="AR37" s="54">
        <v>5000</v>
      </c>
      <c r="AS37" s="54"/>
      <c r="AT37" s="50">
        <v>0</v>
      </c>
      <c r="AU37" s="38" t="s">
        <v>82</v>
      </c>
      <c r="AV37" s="87">
        <v>360000</v>
      </c>
      <c r="AW37" s="74">
        <v>300000</v>
      </c>
      <c r="AX37" s="284">
        <f>IF(FarmerOUTCOMES[[#This Row],[Discretionary expenditure  ]]&lt;&gt;0,FarmerOUTCOMES[[#This Row],[Willingness to accept compensation]]/FarmerOUTCOMES[[#This Row],[Discretionary expenditure  ]],0)</f>
        <v>0.83333333333333337</v>
      </c>
      <c r="AY37" s="74"/>
      <c r="AZ37" s="68">
        <v>0</v>
      </c>
      <c r="BA37" s="99" t="s">
        <v>204</v>
      </c>
      <c r="BB37" s="93" t="s">
        <v>82</v>
      </c>
      <c r="BC37" s="93" t="s">
        <v>82</v>
      </c>
      <c r="BD37" s="93" t="s">
        <v>82</v>
      </c>
      <c r="BE37" s="93" t="s">
        <v>82</v>
      </c>
      <c r="BF37" s="93" t="s">
        <v>82</v>
      </c>
    </row>
    <row r="38" spans="1:58" s="117" customFormat="1" x14ac:dyDescent="0.3">
      <c r="A38" s="3">
        <v>34</v>
      </c>
      <c r="B38" s="12" t="s">
        <v>166</v>
      </c>
      <c r="C38" s="95" t="s">
        <v>74</v>
      </c>
      <c r="D38" s="95" t="s">
        <v>76</v>
      </c>
      <c r="E38" s="95" t="s">
        <v>71</v>
      </c>
      <c r="F38" s="95" t="s">
        <v>15</v>
      </c>
      <c r="G38" s="95" t="s">
        <v>82</v>
      </c>
      <c r="H38" s="95" t="s">
        <v>175</v>
      </c>
      <c r="I38" s="95" t="s">
        <v>15</v>
      </c>
      <c r="J38" s="95">
        <v>1</v>
      </c>
      <c r="K38" s="38">
        <v>1000000</v>
      </c>
      <c r="L38" s="101">
        <v>425000</v>
      </c>
      <c r="M38" s="48">
        <v>792800</v>
      </c>
      <c r="N38" s="52">
        <v>266000</v>
      </c>
      <c r="O38" s="265">
        <f>(FarmerOUTCOMES[[#This Row],[1- Current revenue from fruits and veg]]-FarmerOUTCOMES[[#This Row],[Current costs of production for fruits and veg]])-(FarmerOUTCOMES[[#This Row],[Previous revenue from fruit and veg]]-FarmerOUTCOMES[[#This Row],[Previous cost of production for fruits andveg]])*(1-FarmerOUTCOMES[[#This Row],[1-CF factor]])</f>
        <v>48200</v>
      </c>
      <c r="P38" s="94" t="s">
        <v>125</v>
      </c>
      <c r="Q38" s="94" t="s">
        <v>15</v>
      </c>
      <c r="R38" s="94">
        <f>VLOOKUP(FarmerOUTCOMES[[#This Row],[DI-Group/Location]], CFfarmer1[],3,FALSE)</f>
        <v>0</v>
      </c>
      <c r="S38" t="s">
        <v>200</v>
      </c>
      <c r="T38" s="86">
        <v>2</v>
      </c>
      <c r="U38" s="85">
        <v>0</v>
      </c>
      <c r="V38" s="97">
        <v>30000</v>
      </c>
      <c r="W38" s="97">
        <v>30000</v>
      </c>
      <c r="X38" s="97">
        <f>SUM(FarmerOUTCOMES[[#This Row],[Value of benefit A]:[Value of benefit C]])*(1-FarmerOUTCOMES[[#This Row],[2-CF Factor]])</f>
        <v>60000</v>
      </c>
      <c r="Y38" s="68">
        <f>VLOOKUP(FarmerOUTCOMES[[#This Row],[DI-Group/Location]],CFfarmer2[],3,FALSE)</f>
        <v>0</v>
      </c>
      <c r="Z38" s="157" t="s">
        <v>201</v>
      </c>
      <c r="AA38" s="38">
        <v>500000</v>
      </c>
      <c r="AB38" s="38">
        <v>20000</v>
      </c>
      <c r="AC38" s="38"/>
      <c r="AD38" s="87">
        <f>VLOOKUP(FarmerOUTCOMES[[#This Row],[DI-Group/Location]],CFfarmer3[],3,FALSE)</f>
        <v>0</v>
      </c>
      <c r="AE38" s="99" t="s">
        <v>202</v>
      </c>
      <c r="AF38" s="41">
        <v>0</v>
      </c>
      <c r="AG38" s="243">
        <v>5000</v>
      </c>
      <c r="AH38" s="77"/>
      <c r="AI38" s="87">
        <v>0</v>
      </c>
      <c r="AJ38" s="99" t="s">
        <v>202</v>
      </c>
      <c r="AK38" s="88" t="s">
        <v>82</v>
      </c>
      <c r="AL38" s="38">
        <v>0.1</v>
      </c>
      <c r="AM38" s="38">
        <v>0.1</v>
      </c>
      <c r="AN38" s="87" t="s">
        <v>82</v>
      </c>
      <c r="AO38" s="87"/>
      <c r="AP38" s="52">
        <v>0</v>
      </c>
      <c r="AQ38" s="99" t="s">
        <v>203</v>
      </c>
      <c r="AR38" s="179">
        <v>5000</v>
      </c>
      <c r="AS38" s="54"/>
      <c r="AT38" s="50">
        <v>0</v>
      </c>
      <c r="AU38" s="38" t="s">
        <v>82</v>
      </c>
      <c r="AV38" s="50" t="s">
        <v>82</v>
      </c>
      <c r="AW38" s="75" t="s">
        <v>82</v>
      </c>
      <c r="AX38" s="75" t="e">
        <f>IF(FarmerOUTCOMES[[#This Row],[Discretionary expenditure  ]]&lt;&gt;0,FarmerOUTCOMES[[#This Row],[Willingness to accept compensation]]/FarmerOUTCOMES[[#This Row],[Discretionary expenditure  ]],0)</f>
        <v>#VALUE!</v>
      </c>
      <c r="AY38" s="75"/>
      <c r="AZ38" s="68">
        <v>0</v>
      </c>
      <c r="BA38" s="99" t="s">
        <v>204</v>
      </c>
      <c r="BB38" s="93" t="s">
        <v>82</v>
      </c>
      <c r="BC38" s="93" t="s">
        <v>82</v>
      </c>
      <c r="BD38" s="93" t="s">
        <v>82</v>
      </c>
      <c r="BE38" s="93" t="s">
        <v>82</v>
      </c>
      <c r="BF38" s="93" t="s">
        <v>82</v>
      </c>
    </row>
    <row r="39" spans="1:58" s="117" customFormat="1" x14ac:dyDescent="0.3">
      <c r="A39" s="3">
        <v>35</v>
      </c>
      <c r="B39" s="12" t="s">
        <v>167</v>
      </c>
      <c r="C39" s="95" t="s">
        <v>75</v>
      </c>
      <c r="D39" s="95" t="s">
        <v>77</v>
      </c>
      <c r="E39" s="95" t="s">
        <v>71</v>
      </c>
      <c r="F39" s="95" t="s">
        <v>15</v>
      </c>
      <c r="G39" s="95" t="s">
        <v>82</v>
      </c>
      <c r="H39" s="95" t="s">
        <v>175</v>
      </c>
      <c r="I39" s="95" t="s">
        <v>15</v>
      </c>
      <c r="J39" s="95">
        <v>1</v>
      </c>
      <c r="K39" s="38">
        <v>1176000</v>
      </c>
      <c r="L39" s="101">
        <v>318000</v>
      </c>
      <c r="M39" s="49">
        <v>550000</v>
      </c>
      <c r="N39" s="52">
        <v>63000</v>
      </c>
      <c r="O39" s="101">
        <f>(FarmerOUTCOMES[[#This Row],[1- Current revenue from fruits and veg]]-FarmerOUTCOMES[[#This Row],[Current costs of production for fruits and veg]])-(FarmerOUTCOMES[[#This Row],[Previous revenue from fruit and veg]]-FarmerOUTCOMES[[#This Row],[Previous cost of production for fruits andveg]])*(1-FarmerOUTCOMES[[#This Row],[1-CF factor]])</f>
        <v>371000</v>
      </c>
      <c r="P39" s="94" t="s">
        <v>124</v>
      </c>
      <c r="Q39" s="94" t="s">
        <v>15</v>
      </c>
      <c r="R39" s="94">
        <f>VLOOKUP(FarmerOUTCOMES[[#This Row],[DI-Group/Location]], CFfarmer1[],3,FALSE)</f>
        <v>0</v>
      </c>
      <c r="S39" t="s">
        <v>200</v>
      </c>
      <c r="T39" s="86">
        <v>2</v>
      </c>
      <c r="U39" s="97">
        <v>15000</v>
      </c>
      <c r="V39" s="97">
        <v>40000</v>
      </c>
      <c r="W39" s="97">
        <v>20000</v>
      </c>
      <c r="X39" s="97">
        <f>SUM(FarmerOUTCOMES[[#This Row],[Value of benefit A]:[Value of benefit C]])*(1-FarmerOUTCOMES[[#This Row],[2-CF Factor]])</f>
        <v>75000</v>
      </c>
      <c r="Y39" s="68">
        <f>VLOOKUP(FarmerOUTCOMES[[#This Row],[DI-Group/Location]],CFfarmer2[],3,FALSE)</f>
        <v>0</v>
      </c>
      <c r="Z39" s="157" t="s">
        <v>201</v>
      </c>
      <c r="AA39" s="38">
        <v>150000</v>
      </c>
      <c r="AB39" s="38">
        <v>20000</v>
      </c>
      <c r="AC39" s="38"/>
      <c r="AD39" s="87">
        <f>VLOOKUP(FarmerOUTCOMES[[#This Row],[DI-Group/Location]],CFfarmer3[],3,FALSE)</f>
        <v>0</v>
      </c>
      <c r="AE39" s="99" t="s">
        <v>202</v>
      </c>
      <c r="AF39" s="41">
        <v>0</v>
      </c>
      <c r="AG39" s="243">
        <v>5000</v>
      </c>
      <c r="AH39" s="77"/>
      <c r="AI39" s="87">
        <v>0</v>
      </c>
      <c r="AJ39" s="99" t="s">
        <v>202</v>
      </c>
      <c r="AK39" s="88" t="s">
        <v>82</v>
      </c>
      <c r="AL39" s="38">
        <v>0.1</v>
      </c>
      <c r="AM39" s="38">
        <v>0.1</v>
      </c>
      <c r="AN39" s="87" t="s">
        <v>82</v>
      </c>
      <c r="AO39" s="87"/>
      <c r="AP39" s="52">
        <v>0</v>
      </c>
      <c r="AQ39" s="99" t="s">
        <v>203</v>
      </c>
      <c r="AR39" s="179">
        <v>5000</v>
      </c>
      <c r="AS39" s="54"/>
      <c r="AT39" s="50">
        <v>0</v>
      </c>
      <c r="AU39" s="38" t="s">
        <v>82</v>
      </c>
      <c r="AV39" s="87">
        <v>465000</v>
      </c>
      <c r="AW39" s="74">
        <v>100000</v>
      </c>
      <c r="AX39" s="284">
        <f>IF(FarmerOUTCOMES[[#This Row],[Discretionary expenditure  ]]&lt;&gt;0,FarmerOUTCOMES[[#This Row],[Willingness to accept compensation]]/FarmerOUTCOMES[[#This Row],[Discretionary expenditure  ]],0)</f>
        <v>0.21505376344086022</v>
      </c>
      <c r="AY39" s="74"/>
      <c r="AZ39" s="68">
        <v>0</v>
      </c>
      <c r="BA39" s="99" t="s">
        <v>204</v>
      </c>
      <c r="BB39" s="93" t="s">
        <v>82</v>
      </c>
      <c r="BC39" s="93" t="s">
        <v>82</v>
      </c>
      <c r="BD39" s="93" t="s">
        <v>82</v>
      </c>
      <c r="BE39" s="93" t="s">
        <v>82</v>
      </c>
      <c r="BF39" s="93" t="s">
        <v>82</v>
      </c>
    </row>
    <row r="40" spans="1:58" s="117" customFormat="1" x14ac:dyDescent="0.3">
      <c r="A40" s="3">
        <v>36</v>
      </c>
      <c r="B40" s="67" t="s">
        <v>168</v>
      </c>
      <c r="C40" s="95" t="s">
        <v>74</v>
      </c>
      <c r="D40" s="95" t="s">
        <v>77</v>
      </c>
      <c r="E40" s="95" t="s">
        <v>71</v>
      </c>
      <c r="F40" s="95" t="s">
        <v>15</v>
      </c>
      <c r="G40" s="95" t="s">
        <v>82</v>
      </c>
      <c r="H40" s="95" t="s">
        <v>175</v>
      </c>
      <c r="I40" s="95" t="s">
        <v>79</v>
      </c>
      <c r="J40" s="95">
        <v>1</v>
      </c>
      <c r="K40" s="102">
        <v>392000</v>
      </c>
      <c r="L40" s="101">
        <v>0</v>
      </c>
      <c r="M40" s="103">
        <v>373000</v>
      </c>
      <c r="N40" s="84">
        <v>144800</v>
      </c>
      <c r="O40" s="149">
        <f>(FarmerOUTCOMES[[#This Row],[1- Current revenue from fruits and veg]]-FarmerOUTCOMES[[#This Row],[Current costs of production for fruits and veg]])-(FarmerOUTCOMES[[#This Row],[Previous revenue from fruit and veg]]-FarmerOUTCOMES[[#This Row],[Previous cost of production for fruits andveg]])*(1-FarmerOUTCOMES[[#This Row],[1-CF factor]])</f>
        <v>163800</v>
      </c>
      <c r="P40" s="94" t="s">
        <v>124</v>
      </c>
      <c r="Q40" s="94" t="s">
        <v>15</v>
      </c>
      <c r="R40" s="94">
        <f>VLOOKUP(FarmerOUTCOMES[[#This Row],[DI-Group/Location]], CFfarmer1[],3,FALSE)</f>
        <v>0</v>
      </c>
      <c r="S40" t="s">
        <v>200</v>
      </c>
      <c r="T40" s="86">
        <v>2</v>
      </c>
      <c r="U40" s="85">
        <v>0</v>
      </c>
      <c r="V40" s="85">
        <v>0</v>
      </c>
      <c r="W40" s="97">
        <v>15000</v>
      </c>
      <c r="X40" s="97">
        <f>SUM(FarmerOUTCOMES[[#This Row],[Value of benefit A]:[Value of benefit C]])*(1-FarmerOUTCOMES[[#This Row],[2-CF Factor]])</f>
        <v>15000</v>
      </c>
      <c r="Y40" s="97">
        <f>VLOOKUP(FarmerOUTCOMES[[#This Row],[DI-Group/Location]],CFfarmer2[],3,FALSE)</f>
        <v>0</v>
      </c>
      <c r="Z40" s="157" t="s">
        <v>201</v>
      </c>
      <c r="AA40" s="38">
        <v>60000</v>
      </c>
      <c r="AB40" s="38">
        <v>3000</v>
      </c>
      <c r="AC40" s="38"/>
      <c r="AD40" s="87">
        <v>0</v>
      </c>
      <c r="AE40" s="99" t="s">
        <v>202</v>
      </c>
      <c r="AF40" s="115">
        <v>180000</v>
      </c>
      <c r="AG40" s="77">
        <v>20000</v>
      </c>
      <c r="AH40" s="77"/>
      <c r="AI40" s="87">
        <v>0</v>
      </c>
      <c r="AJ40" s="99" t="s">
        <v>202</v>
      </c>
      <c r="AK40" s="87">
        <v>900000</v>
      </c>
      <c r="AL40" s="38">
        <v>0.1</v>
      </c>
      <c r="AM40" s="38">
        <v>5</v>
      </c>
      <c r="AN40" s="87" t="s">
        <v>82</v>
      </c>
      <c r="AO40" s="87"/>
      <c r="AP40" s="52">
        <v>0</v>
      </c>
      <c r="AQ40" s="99" t="s">
        <v>203</v>
      </c>
      <c r="AR40" s="54">
        <v>20000</v>
      </c>
      <c r="AS40" s="54"/>
      <c r="AT40" s="50">
        <v>0</v>
      </c>
      <c r="AU40" s="38" t="s">
        <v>82</v>
      </c>
      <c r="AV40" s="87">
        <v>410000</v>
      </c>
      <c r="AW40" s="74">
        <v>100000</v>
      </c>
      <c r="AX40" s="284">
        <f>IF(FarmerOUTCOMES[[#This Row],[Discretionary expenditure  ]]&lt;&gt;0,FarmerOUTCOMES[[#This Row],[Willingness to accept compensation]]/FarmerOUTCOMES[[#This Row],[Discretionary expenditure  ]],0)</f>
        <v>0.24390243902439024</v>
      </c>
      <c r="AY40" s="74"/>
      <c r="AZ40" s="68">
        <v>0</v>
      </c>
      <c r="BA40" s="99" t="s">
        <v>204</v>
      </c>
      <c r="BB40" s="93" t="s">
        <v>82</v>
      </c>
      <c r="BC40" s="93" t="s">
        <v>82</v>
      </c>
      <c r="BD40" s="93" t="s">
        <v>82</v>
      </c>
      <c r="BE40" s="93" t="s">
        <v>82</v>
      </c>
      <c r="BF40" s="93" t="s">
        <v>82</v>
      </c>
    </row>
    <row r="41" spans="1:58" s="117" customFormat="1" x14ac:dyDescent="0.3">
      <c r="A41" s="3">
        <v>37</v>
      </c>
      <c r="B41" s="66" t="s">
        <v>169</v>
      </c>
      <c r="C41" s="95" t="s">
        <v>75</v>
      </c>
      <c r="D41" s="95" t="s">
        <v>77</v>
      </c>
      <c r="E41" s="95" t="s">
        <v>71</v>
      </c>
      <c r="F41" s="95" t="s">
        <v>15</v>
      </c>
      <c r="G41" s="95" t="s">
        <v>82</v>
      </c>
      <c r="H41" s="95" t="s">
        <v>175</v>
      </c>
      <c r="I41" s="95" t="s">
        <v>15</v>
      </c>
      <c r="J41" s="95">
        <v>1</v>
      </c>
      <c r="K41" s="102">
        <v>392000</v>
      </c>
      <c r="L41" s="101">
        <v>0</v>
      </c>
      <c r="M41" s="103">
        <v>373000</v>
      </c>
      <c r="N41" s="84">
        <v>144800</v>
      </c>
      <c r="O41" s="149">
        <f>(FarmerOUTCOMES[[#This Row],[1- Current revenue from fruits and veg]]-FarmerOUTCOMES[[#This Row],[Current costs of production for fruits and veg]])-(FarmerOUTCOMES[[#This Row],[Previous revenue from fruit and veg]]-FarmerOUTCOMES[[#This Row],[Previous cost of production for fruits andveg]])*(1-FarmerOUTCOMES[[#This Row],[1-CF factor]])</f>
        <v>163800</v>
      </c>
      <c r="P41" s="94" t="s">
        <v>124</v>
      </c>
      <c r="Q41" s="94" t="s">
        <v>15</v>
      </c>
      <c r="R41" s="94">
        <f>VLOOKUP(FarmerOUTCOMES[[#This Row],[DI-Group/Location]], CFfarmer1[],3,FALSE)</f>
        <v>0</v>
      </c>
      <c r="S41" t="s">
        <v>200</v>
      </c>
      <c r="T41" s="86">
        <v>2</v>
      </c>
      <c r="U41" s="85">
        <v>0</v>
      </c>
      <c r="V41" s="85">
        <v>0</v>
      </c>
      <c r="W41" s="85">
        <v>0</v>
      </c>
      <c r="X41" s="85">
        <f>SUM(FarmerOUTCOMES[[#This Row],[Value of benefit A]:[Value of benefit C]])*(1-FarmerOUTCOMES[[#This Row],[2-CF Factor]])</f>
        <v>0</v>
      </c>
      <c r="Y41" s="68">
        <f>VLOOKUP(FarmerOUTCOMES[[#This Row],[DI-Group/Location]],CFfarmer2[],3,FALSE)</f>
        <v>0</v>
      </c>
      <c r="Z41" s="157" t="s">
        <v>201</v>
      </c>
      <c r="AA41" s="41">
        <v>356000</v>
      </c>
      <c r="AB41" s="38">
        <v>3000</v>
      </c>
      <c r="AC41" s="38"/>
      <c r="AD41" s="87">
        <f>VLOOKUP(FarmerOUTCOMES[[#This Row],[DI-Group/Location]],CFfarmer3[],3,FALSE)</f>
        <v>0</v>
      </c>
      <c r="AE41" s="99" t="s">
        <v>202</v>
      </c>
      <c r="AF41" s="41">
        <v>0</v>
      </c>
      <c r="AG41" s="104">
        <v>0</v>
      </c>
      <c r="AH41" s="104"/>
      <c r="AI41" s="87">
        <v>0</v>
      </c>
      <c r="AJ41" s="99" t="s">
        <v>202</v>
      </c>
      <c r="AK41" s="88" t="s">
        <v>82</v>
      </c>
      <c r="AL41" s="38">
        <v>0.1</v>
      </c>
      <c r="AM41" s="38">
        <v>0.1</v>
      </c>
      <c r="AN41" s="87" t="s">
        <v>82</v>
      </c>
      <c r="AO41" s="87"/>
      <c r="AP41" s="52">
        <v>0</v>
      </c>
      <c r="AQ41" s="99" t="s">
        <v>203</v>
      </c>
      <c r="AR41" s="50" t="s">
        <v>82</v>
      </c>
      <c r="AS41" s="50"/>
      <c r="AT41" s="50">
        <v>0</v>
      </c>
      <c r="AU41" s="38" t="s">
        <v>82</v>
      </c>
      <c r="AV41" s="50" t="s">
        <v>82</v>
      </c>
      <c r="AW41" s="75" t="s">
        <v>82</v>
      </c>
      <c r="AX41" s="75" t="e">
        <f>IF(FarmerOUTCOMES[[#This Row],[Discretionary expenditure  ]]&lt;&gt;0,FarmerOUTCOMES[[#This Row],[Willingness to accept compensation]]/FarmerOUTCOMES[[#This Row],[Discretionary expenditure  ]],0)</f>
        <v>#VALUE!</v>
      </c>
      <c r="AY41" s="75"/>
      <c r="AZ41" s="68">
        <v>0</v>
      </c>
      <c r="BA41" s="99" t="s">
        <v>204</v>
      </c>
      <c r="BB41" s="93" t="s">
        <v>82</v>
      </c>
      <c r="BC41" s="93" t="s">
        <v>82</v>
      </c>
      <c r="BD41" s="93" t="s">
        <v>82</v>
      </c>
      <c r="BE41" s="93" t="s">
        <v>82</v>
      </c>
      <c r="BF41" s="93" t="s">
        <v>82</v>
      </c>
    </row>
    <row r="42" spans="1:58" s="117" customFormat="1" x14ac:dyDescent="0.3">
      <c r="A42" s="3">
        <v>38</v>
      </c>
      <c r="B42" s="35" t="s">
        <v>173</v>
      </c>
      <c r="C42" s="95" t="s">
        <v>75</v>
      </c>
      <c r="D42" s="95" t="s">
        <v>77</v>
      </c>
      <c r="E42" s="95" t="s">
        <v>71</v>
      </c>
      <c r="F42" s="95" t="s">
        <v>15</v>
      </c>
      <c r="G42" s="95" t="s">
        <v>82</v>
      </c>
      <c r="H42" s="95" t="s">
        <v>175</v>
      </c>
      <c r="I42" s="95" t="s">
        <v>15</v>
      </c>
      <c r="J42" s="95">
        <v>1</v>
      </c>
      <c r="K42" s="102">
        <v>392000</v>
      </c>
      <c r="L42" s="101">
        <v>0</v>
      </c>
      <c r="M42" s="103">
        <v>373000</v>
      </c>
      <c r="N42" s="84">
        <v>144800</v>
      </c>
      <c r="O42" s="149">
        <f>(FarmerOUTCOMES[[#This Row],[1- Current revenue from fruits and veg]]-FarmerOUTCOMES[[#This Row],[Current costs of production for fruits and veg]])-(FarmerOUTCOMES[[#This Row],[Previous revenue from fruit and veg]]-FarmerOUTCOMES[[#This Row],[Previous cost of production for fruits andveg]])*(1-FarmerOUTCOMES[[#This Row],[1-CF factor]])</f>
        <v>163800</v>
      </c>
      <c r="P42" s="94" t="s">
        <v>124</v>
      </c>
      <c r="Q42" s="94" t="s">
        <v>15</v>
      </c>
      <c r="R42" s="94">
        <f>VLOOKUP(FarmerOUTCOMES[[#This Row],[DI-Group/Location]], CFfarmer1[],3,FALSE)</f>
        <v>0</v>
      </c>
      <c r="S42" t="s">
        <v>200</v>
      </c>
      <c r="T42" s="86">
        <v>2</v>
      </c>
      <c r="U42" s="85">
        <v>0</v>
      </c>
      <c r="V42" s="85">
        <v>0</v>
      </c>
      <c r="W42" s="85">
        <v>0</v>
      </c>
      <c r="X42" s="85">
        <f>SUM(FarmerOUTCOMES[[#This Row],[Value of benefit A]:[Value of benefit C]])*(1-FarmerOUTCOMES[[#This Row],[2-CF Factor]])</f>
        <v>0</v>
      </c>
      <c r="Y42" s="68">
        <f>VLOOKUP(FarmerOUTCOMES[[#This Row],[DI-Group/Location]],CFfarmer2[],3,FALSE)</f>
        <v>0</v>
      </c>
      <c r="Z42" s="157" t="s">
        <v>201</v>
      </c>
      <c r="AA42" s="41">
        <v>0</v>
      </c>
      <c r="AB42" s="41">
        <v>0</v>
      </c>
      <c r="AC42" s="41"/>
      <c r="AD42" s="87">
        <f>VLOOKUP(FarmerOUTCOMES[[#This Row],[DI-Group/Location]],CFfarmer3[],3,FALSE)</f>
        <v>0</v>
      </c>
      <c r="AE42" s="99" t="s">
        <v>202</v>
      </c>
      <c r="AF42" s="41">
        <v>0</v>
      </c>
      <c r="AG42" s="104">
        <v>0</v>
      </c>
      <c r="AH42" s="104"/>
      <c r="AI42" s="87">
        <v>0</v>
      </c>
      <c r="AJ42" s="99" t="s">
        <v>202</v>
      </c>
      <c r="AK42" s="88" t="s">
        <v>82</v>
      </c>
      <c r="AL42" s="38">
        <v>0.1</v>
      </c>
      <c r="AM42" s="38">
        <v>0.1</v>
      </c>
      <c r="AN42" s="87" t="s">
        <v>82</v>
      </c>
      <c r="AO42" s="87"/>
      <c r="AP42" s="52">
        <v>0</v>
      </c>
      <c r="AQ42" s="99" t="s">
        <v>203</v>
      </c>
      <c r="AR42" s="50" t="s">
        <v>82</v>
      </c>
      <c r="AS42" s="50"/>
      <c r="AT42" s="50">
        <v>0</v>
      </c>
      <c r="AU42" s="38" t="s">
        <v>82</v>
      </c>
      <c r="AV42" s="50" t="s">
        <v>82</v>
      </c>
      <c r="AW42" s="75" t="s">
        <v>82</v>
      </c>
      <c r="AX42" s="75" t="e">
        <f>IF(FarmerOUTCOMES[[#This Row],[Discretionary expenditure  ]]&lt;&gt;0,FarmerOUTCOMES[[#This Row],[Willingness to accept compensation]]/FarmerOUTCOMES[[#This Row],[Discretionary expenditure  ]],0)</f>
        <v>#VALUE!</v>
      </c>
      <c r="AY42" s="75"/>
      <c r="AZ42" s="68">
        <v>0</v>
      </c>
      <c r="BA42" s="99" t="s">
        <v>204</v>
      </c>
      <c r="BB42" s="93" t="s">
        <v>82</v>
      </c>
      <c r="BC42" s="93" t="s">
        <v>82</v>
      </c>
      <c r="BD42" s="93" t="s">
        <v>82</v>
      </c>
      <c r="BE42" s="93" t="s">
        <v>82</v>
      </c>
      <c r="BF42" s="93" t="s">
        <v>82</v>
      </c>
    </row>
    <row r="43" spans="1:58" s="117" customFormat="1" x14ac:dyDescent="0.3">
      <c r="A43" s="3">
        <v>39</v>
      </c>
      <c r="B43" s="35" t="s">
        <v>170</v>
      </c>
      <c r="C43" s="95" t="s">
        <v>74</v>
      </c>
      <c r="D43" s="95" t="s">
        <v>77</v>
      </c>
      <c r="E43" s="95" t="s">
        <v>71</v>
      </c>
      <c r="F43" s="95" t="s">
        <v>15</v>
      </c>
      <c r="G43" s="95" t="s">
        <v>82</v>
      </c>
      <c r="H43" s="95" t="s">
        <v>175</v>
      </c>
      <c r="I43" s="95" t="s">
        <v>15</v>
      </c>
      <c r="J43" s="95">
        <v>1</v>
      </c>
      <c r="K43" s="102">
        <v>392000</v>
      </c>
      <c r="L43" s="101">
        <v>0</v>
      </c>
      <c r="M43" s="103">
        <v>373000</v>
      </c>
      <c r="N43" s="84">
        <v>144800</v>
      </c>
      <c r="O43" s="149">
        <f>(FarmerOUTCOMES[[#This Row],[1- Current revenue from fruits and veg]]-FarmerOUTCOMES[[#This Row],[Current costs of production for fruits and veg]])-(FarmerOUTCOMES[[#This Row],[Previous revenue from fruit and veg]]-FarmerOUTCOMES[[#This Row],[Previous cost of production for fruits andveg]])*(1-FarmerOUTCOMES[[#This Row],[1-CF factor]])</f>
        <v>163800</v>
      </c>
      <c r="P43" s="94" t="s">
        <v>124</v>
      </c>
      <c r="Q43" s="94" t="s">
        <v>15</v>
      </c>
      <c r="R43" s="94">
        <f>VLOOKUP(FarmerOUTCOMES[[#This Row],[DI-Group/Location]], CFfarmer1[],3,FALSE)</f>
        <v>0</v>
      </c>
      <c r="S43" t="s">
        <v>200</v>
      </c>
      <c r="T43" s="86">
        <v>2</v>
      </c>
      <c r="U43" s="85">
        <v>0</v>
      </c>
      <c r="V43" s="85">
        <v>0</v>
      </c>
      <c r="W43" s="97">
        <v>20000</v>
      </c>
      <c r="X43" s="97">
        <f>SUM(FarmerOUTCOMES[[#This Row],[Value of benefit A]:[Value of benefit C]])*(1-FarmerOUTCOMES[[#This Row],[2-CF Factor]])</f>
        <v>20000</v>
      </c>
      <c r="Y43" s="68">
        <f>VLOOKUP(FarmerOUTCOMES[[#This Row],[DI-Group/Location]],CFfarmer2[],3,FALSE)</f>
        <v>0</v>
      </c>
      <c r="Z43" s="157" t="s">
        <v>201</v>
      </c>
      <c r="AA43" s="38">
        <v>96000</v>
      </c>
      <c r="AB43" s="38">
        <v>3000</v>
      </c>
      <c r="AC43" s="38"/>
      <c r="AD43" s="87">
        <f>VLOOKUP(FarmerOUTCOMES[[#This Row],[DI-Group/Location]],CFfarmer3[],3,FALSE)</f>
        <v>0</v>
      </c>
      <c r="AE43" s="99" t="s">
        <v>202</v>
      </c>
      <c r="AF43" s="41">
        <v>0</v>
      </c>
      <c r="AG43" s="104">
        <v>0</v>
      </c>
      <c r="AH43" s="104"/>
      <c r="AI43" s="87">
        <v>0</v>
      </c>
      <c r="AJ43" s="99" t="s">
        <v>202</v>
      </c>
      <c r="AK43" s="88" t="s">
        <v>82</v>
      </c>
      <c r="AL43" s="38">
        <v>0.1</v>
      </c>
      <c r="AM43" s="38">
        <v>0.1</v>
      </c>
      <c r="AN43" s="87" t="s">
        <v>82</v>
      </c>
      <c r="AO43" s="87"/>
      <c r="AP43" s="52">
        <v>0</v>
      </c>
      <c r="AQ43" s="99" t="s">
        <v>203</v>
      </c>
      <c r="AR43" s="179">
        <v>5000</v>
      </c>
      <c r="AS43" s="54"/>
      <c r="AT43" s="50">
        <v>0</v>
      </c>
      <c r="AU43" s="38" t="s">
        <v>82</v>
      </c>
      <c r="AV43" s="87">
        <v>400000</v>
      </c>
      <c r="AW43" s="74">
        <v>150000</v>
      </c>
      <c r="AX43" s="284">
        <f>IF(FarmerOUTCOMES[[#This Row],[Discretionary expenditure  ]]&lt;&gt;0,FarmerOUTCOMES[[#This Row],[Willingness to accept compensation]]/FarmerOUTCOMES[[#This Row],[Discretionary expenditure  ]],0)</f>
        <v>0.375</v>
      </c>
      <c r="AY43" s="74"/>
      <c r="AZ43" s="68">
        <v>0</v>
      </c>
      <c r="BA43" s="99" t="s">
        <v>204</v>
      </c>
      <c r="BB43" s="93" t="s">
        <v>82</v>
      </c>
      <c r="BC43" s="93" t="s">
        <v>82</v>
      </c>
      <c r="BD43" s="93" t="s">
        <v>82</v>
      </c>
      <c r="BE43" s="93" t="s">
        <v>82</v>
      </c>
      <c r="BF43" s="93" t="s">
        <v>82</v>
      </c>
    </row>
    <row r="44" spans="1:58" s="117" customFormat="1" x14ac:dyDescent="0.3">
      <c r="A44" s="3">
        <v>40</v>
      </c>
      <c r="B44" s="66" t="s">
        <v>171</v>
      </c>
      <c r="C44" s="95" t="s">
        <v>75</v>
      </c>
      <c r="D44" s="95" t="s">
        <v>77</v>
      </c>
      <c r="E44" s="95" t="s">
        <v>71</v>
      </c>
      <c r="F44" s="95" t="s">
        <v>15</v>
      </c>
      <c r="G44" s="95" t="s">
        <v>82</v>
      </c>
      <c r="H44" s="95" t="s">
        <v>175</v>
      </c>
      <c r="I44" s="95" t="s">
        <v>79</v>
      </c>
      <c r="J44" s="95">
        <v>1</v>
      </c>
      <c r="K44" s="38">
        <v>600000</v>
      </c>
      <c r="L44" s="101">
        <v>70000</v>
      </c>
      <c r="M44" s="89">
        <v>0</v>
      </c>
      <c r="N44" s="52">
        <v>0</v>
      </c>
      <c r="O44" s="101">
        <f>(FarmerOUTCOMES[[#This Row],[1- Current revenue from fruits and veg]]-FarmerOUTCOMES[[#This Row],[Current costs of production for fruits and veg]])-(FarmerOUTCOMES[[#This Row],[Previous revenue from fruit and veg]]-FarmerOUTCOMES[[#This Row],[Previous cost of production for fruits andveg]])*(1-FarmerOUTCOMES[[#This Row],[1-CF factor]])</f>
        <v>530000</v>
      </c>
      <c r="P44" s="94" t="s">
        <v>124</v>
      </c>
      <c r="Q44" s="94" t="s">
        <v>15</v>
      </c>
      <c r="R44" s="94">
        <f>VLOOKUP(FarmerOUTCOMES[[#This Row],[DI-Group/Location]], CFfarmer1[],3,FALSE)</f>
        <v>0</v>
      </c>
      <c r="S44" t="s">
        <v>200</v>
      </c>
      <c r="T44" s="86">
        <v>2</v>
      </c>
      <c r="U44" s="85">
        <v>0</v>
      </c>
      <c r="V44" s="85">
        <v>0</v>
      </c>
      <c r="W44" s="97">
        <v>10000</v>
      </c>
      <c r="X44" s="97">
        <f>SUM(FarmerOUTCOMES[[#This Row],[Value of benefit A]:[Value of benefit C]])*(1-FarmerOUTCOMES[[#This Row],[2-CF Factor]])</f>
        <v>10000</v>
      </c>
      <c r="Y44" s="97">
        <f>VLOOKUP(FarmerOUTCOMES[[#This Row],[DI-Group/Location]],CFfarmer2[],3,FALSE)</f>
        <v>0</v>
      </c>
      <c r="Z44" s="157" t="s">
        <v>201</v>
      </c>
      <c r="AA44" s="38">
        <v>80000</v>
      </c>
      <c r="AB44" s="38">
        <v>3000</v>
      </c>
      <c r="AC44" s="38"/>
      <c r="AD44" s="87">
        <v>0</v>
      </c>
      <c r="AE44" s="99" t="s">
        <v>202</v>
      </c>
      <c r="AF44" s="115">
        <v>180000</v>
      </c>
      <c r="AG44" s="77">
        <v>20000</v>
      </c>
      <c r="AH44" s="77"/>
      <c r="AI44" s="87">
        <v>0</v>
      </c>
      <c r="AJ44" s="99" t="s">
        <v>202</v>
      </c>
      <c r="AK44" s="87">
        <v>580000</v>
      </c>
      <c r="AL44" s="38">
        <v>0.1</v>
      </c>
      <c r="AM44" s="38">
        <v>5</v>
      </c>
      <c r="AN44" s="87" t="s">
        <v>82</v>
      </c>
      <c r="AO44" s="87"/>
      <c r="AP44" s="52">
        <v>0</v>
      </c>
      <c r="AQ44" s="99" t="s">
        <v>203</v>
      </c>
      <c r="AR44" s="54">
        <v>20000</v>
      </c>
      <c r="AS44" s="54"/>
      <c r="AT44" s="50">
        <v>0</v>
      </c>
      <c r="AU44" s="38" t="s">
        <v>82</v>
      </c>
      <c r="AV44" s="87">
        <v>65000</v>
      </c>
      <c r="AW44" s="74">
        <v>200000</v>
      </c>
      <c r="AX44" s="284">
        <f>IF(FarmerOUTCOMES[[#This Row],[Discretionary expenditure  ]]&lt;&gt;0,FarmerOUTCOMES[[#This Row],[Willingness to accept compensation]]/FarmerOUTCOMES[[#This Row],[Discretionary expenditure  ]],0)</f>
        <v>3.0769230769230771</v>
      </c>
      <c r="AY44" s="74"/>
      <c r="AZ44" s="68">
        <v>0</v>
      </c>
      <c r="BA44" s="99" t="s">
        <v>204</v>
      </c>
      <c r="BB44" s="93" t="s">
        <v>82</v>
      </c>
      <c r="BC44" s="93" t="s">
        <v>82</v>
      </c>
      <c r="BD44" s="93" t="s">
        <v>82</v>
      </c>
      <c r="BE44" s="93" t="s">
        <v>82</v>
      </c>
      <c r="BF44" s="93" t="s">
        <v>82</v>
      </c>
    </row>
    <row r="45" spans="1:58" s="117" customFormat="1" ht="15.6" x14ac:dyDescent="0.3">
      <c r="A45" s="3">
        <v>41</v>
      </c>
      <c r="B45" s="32" t="s">
        <v>172</v>
      </c>
      <c r="C45" s="95" t="s">
        <v>75</v>
      </c>
      <c r="D45" s="95" t="s">
        <v>77</v>
      </c>
      <c r="E45" s="95" t="s">
        <v>71</v>
      </c>
      <c r="F45" s="95" t="s">
        <v>15</v>
      </c>
      <c r="G45" s="95" t="s">
        <v>82</v>
      </c>
      <c r="H45" s="95" t="s">
        <v>175</v>
      </c>
      <c r="I45" s="95" t="s">
        <v>79</v>
      </c>
      <c r="J45" s="95">
        <v>1</v>
      </c>
      <c r="K45" s="38">
        <v>460000</v>
      </c>
      <c r="L45" s="101">
        <v>293000</v>
      </c>
      <c r="M45" s="89">
        <v>0</v>
      </c>
      <c r="N45" s="52">
        <v>0</v>
      </c>
      <c r="O45" s="101">
        <f>(FarmerOUTCOMES[[#This Row],[1- Current revenue from fruits and veg]]-FarmerOUTCOMES[[#This Row],[Current costs of production for fruits and veg]])-(FarmerOUTCOMES[[#This Row],[Previous revenue from fruit and veg]]-FarmerOUTCOMES[[#This Row],[Previous cost of production for fruits andveg]])*(1-FarmerOUTCOMES[[#This Row],[1-CF factor]])</f>
        <v>167000</v>
      </c>
      <c r="P45" s="94" t="s">
        <v>124</v>
      </c>
      <c r="Q45" s="94" t="s">
        <v>15</v>
      </c>
      <c r="R45" s="94">
        <f>VLOOKUP(FarmerOUTCOMES[[#This Row],[DI-Group/Location]], CFfarmer1[],3,FALSE)</f>
        <v>0</v>
      </c>
      <c r="S45" t="s">
        <v>200</v>
      </c>
      <c r="T45" s="86">
        <v>2</v>
      </c>
      <c r="U45" s="85">
        <v>0</v>
      </c>
      <c r="V45" s="97">
        <v>40000</v>
      </c>
      <c r="W45" s="97">
        <v>15000</v>
      </c>
      <c r="X45" s="97">
        <f>SUM(FarmerOUTCOMES[[#This Row],[Value of benefit A]:[Value of benefit C]])*(1-FarmerOUTCOMES[[#This Row],[2-CF Factor]])</f>
        <v>55000</v>
      </c>
      <c r="Y45" s="97">
        <f>VLOOKUP(FarmerOUTCOMES[[#This Row],[DI-Group/Location]],CFfarmer2[],3,FALSE)</f>
        <v>0</v>
      </c>
      <c r="Z45" s="157" t="s">
        <v>201</v>
      </c>
      <c r="AA45" s="38">
        <v>70000</v>
      </c>
      <c r="AB45" s="38">
        <v>4000</v>
      </c>
      <c r="AC45" s="38"/>
      <c r="AD45" s="87">
        <v>0</v>
      </c>
      <c r="AE45" s="99" t="s">
        <v>202</v>
      </c>
      <c r="AF45" s="115">
        <v>40000</v>
      </c>
      <c r="AG45" s="77">
        <v>10000</v>
      </c>
      <c r="AH45" s="77"/>
      <c r="AI45" s="87">
        <v>0</v>
      </c>
      <c r="AJ45" s="99" t="s">
        <v>202</v>
      </c>
      <c r="AK45" s="87">
        <v>40000</v>
      </c>
      <c r="AL45" s="38">
        <v>0.1</v>
      </c>
      <c r="AM45" s="38">
        <v>5</v>
      </c>
      <c r="AN45" s="87" t="s">
        <v>82</v>
      </c>
      <c r="AO45" s="87"/>
      <c r="AP45" s="52">
        <v>0</v>
      </c>
      <c r="AQ45" s="99" t="s">
        <v>203</v>
      </c>
      <c r="AR45" s="59">
        <v>10000</v>
      </c>
      <c r="AS45" s="59"/>
      <c r="AT45" s="50">
        <v>0</v>
      </c>
      <c r="AU45" s="38" t="s">
        <v>82</v>
      </c>
      <c r="AV45" s="87">
        <v>224000</v>
      </c>
      <c r="AW45" s="74">
        <v>300000</v>
      </c>
      <c r="AX45" s="284">
        <f>IF(FarmerOUTCOMES[[#This Row],[Discretionary expenditure  ]]&lt;&gt;0,FarmerOUTCOMES[[#This Row],[Willingness to accept compensation]]/FarmerOUTCOMES[[#This Row],[Discretionary expenditure  ]],0)</f>
        <v>1.3392857142857142</v>
      </c>
      <c r="AY45" s="74"/>
      <c r="AZ45" s="68">
        <v>0</v>
      </c>
      <c r="BA45" s="99" t="s">
        <v>204</v>
      </c>
      <c r="BB45" s="93" t="s">
        <v>82</v>
      </c>
      <c r="BC45" s="93" t="s">
        <v>82</v>
      </c>
      <c r="BD45" s="93" t="s">
        <v>82</v>
      </c>
      <c r="BE45" s="93" t="s">
        <v>82</v>
      </c>
      <c r="BF45" s="93" t="s">
        <v>82</v>
      </c>
    </row>
    <row r="46" spans="1:58" s="117" customFormat="1" ht="15.6" x14ac:dyDescent="0.3">
      <c r="A46" s="3">
        <v>42</v>
      </c>
      <c r="B46" s="37" t="s">
        <v>132</v>
      </c>
      <c r="C46" s="95" t="s">
        <v>74</v>
      </c>
      <c r="D46" s="95" t="s">
        <v>77</v>
      </c>
      <c r="E46" s="95" t="s">
        <v>71</v>
      </c>
      <c r="F46" s="95" t="s">
        <v>79</v>
      </c>
      <c r="G46" s="95" t="s">
        <v>82</v>
      </c>
      <c r="H46" s="95" t="s">
        <v>68</v>
      </c>
      <c r="I46" s="95" t="s">
        <v>15</v>
      </c>
      <c r="J46" s="95">
        <v>2</v>
      </c>
      <c r="K46" s="105">
        <v>3328000</v>
      </c>
      <c r="L46" s="106">
        <v>510000</v>
      </c>
      <c r="M46" s="105">
        <v>191000</v>
      </c>
      <c r="N46" s="106">
        <v>170000</v>
      </c>
      <c r="O46" s="106">
        <f>(FarmerOUTCOMES[[#This Row],[1- Current revenue from fruits and veg]]-FarmerOUTCOMES[[#This Row],[Current costs of production for fruits and veg]])-(FarmerOUTCOMES[[#This Row],[Previous revenue from fruit and veg]]-FarmerOUTCOMES[[#This Row],[Previous cost of production for fruits andveg]])*(1-FarmerOUTCOMES[[#This Row],[1-CF factor]])</f>
        <v>2797000</v>
      </c>
      <c r="P46" s="94" t="s">
        <v>124</v>
      </c>
      <c r="Q46" s="94" t="s">
        <v>15</v>
      </c>
      <c r="R46" s="94">
        <f>VLOOKUP(FarmerOUTCOMES[[#This Row],[DI-Group/Location]], CFfarmer1[],3,FALSE)</f>
        <v>0</v>
      </c>
      <c r="S46" t="s">
        <v>205</v>
      </c>
      <c r="T46" s="86">
        <v>1</v>
      </c>
      <c r="U46" s="54">
        <v>25000</v>
      </c>
      <c r="V46" s="49">
        <v>40000</v>
      </c>
      <c r="W46" s="49">
        <v>150000</v>
      </c>
      <c r="X46" s="49">
        <f>SUM(FarmerOUTCOMES[[#This Row],[Value of benefit A]:[Value of benefit C]])*(1-FarmerOUTCOMES[[#This Row],[2-CF Factor]])</f>
        <v>215000</v>
      </c>
      <c r="Y46" s="68">
        <f>VLOOKUP(FarmerOUTCOMES[[#This Row],[DI-Group/Location]],CFfarmer2[],3,FALSE)</f>
        <v>0</v>
      </c>
      <c r="Z46" s="157" t="s">
        <v>206</v>
      </c>
      <c r="AA46" s="38">
        <v>15000</v>
      </c>
      <c r="AB46" s="38">
        <v>40000</v>
      </c>
      <c r="AC46" s="38"/>
      <c r="AD46" s="87">
        <f>VLOOKUP(FarmerOUTCOMES[[#This Row],[DI-Group/Location]],CFfarmer3[],3,FALSE)</f>
        <v>0</v>
      </c>
      <c r="AE46" s="99" t="s">
        <v>207</v>
      </c>
      <c r="AF46" s="116">
        <v>0</v>
      </c>
      <c r="AG46" s="244">
        <v>3000</v>
      </c>
      <c r="AH46" s="71"/>
      <c r="AI46" s="87">
        <v>0</v>
      </c>
      <c r="AJ46" s="99" t="s">
        <v>207</v>
      </c>
      <c r="AK46" s="87">
        <v>0</v>
      </c>
      <c r="AL46" s="108">
        <v>0</v>
      </c>
      <c r="AM46" s="87">
        <v>0</v>
      </c>
      <c r="AN46" s="91" t="s">
        <v>82</v>
      </c>
      <c r="AO46" s="91"/>
      <c r="AP46" s="52">
        <v>0</v>
      </c>
      <c r="AQ46" s="99" t="s">
        <v>208</v>
      </c>
      <c r="AR46" s="249">
        <v>3000</v>
      </c>
      <c r="AS46" s="170"/>
      <c r="AT46" s="50">
        <v>0</v>
      </c>
      <c r="AU46" s="68" t="s">
        <v>82</v>
      </c>
      <c r="AV46" s="87">
        <v>850000</v>
      </c>
      <c r="AW46" s="76">
        <v>150000</v>
      </c>
      <c r="AX46" s="276">
        <f>IF(FarmerOUTCOMES[[#This Row],[Discretionary expenditure  ]]&lt;&gt;0,FarmerOUTCOMES[[#This Row],[Willingness to accept compensation]]/FarmerOUTCOMES[[#This Row],[Discretionary expenditure  ]],0)</f>
        <v>0.17647058823529413</v>
      </c>
      <c r="AY46" s="76"/>
      <c r="AZ46" s="68">
        <v>0</v>
      </c>
      <c r="BA46" s="99" t="s">
        <v>209</v>
      </c>
      <c r="BB46" s="93" t="s">
        <v>82</v>
      </c>
      <c r="BC46" s="93" t="s">
        <v>82</v>
      </c>
      <c r="BD46" s="93" t="s">
        <v>82</v>
      </c>
      <c r="BE46" s="93" t="s">
        <v>82</v>
      </c>
      <c r="BF46" s="93" t="s">
        <v>82</v>
      </c>
    </row>
    <row r="47" spans="1:58" s="117" customFormat="1" ht="15.6" x14ac:dyDescent="0.3">
      <c r="A47" s="3">
        <v>43</v>
      </c>
      <c r="B47" s="37" t="s">
        <v>133</v>
      </c>
      <c r="C47" s="95" t="s">
        <v>75</v>
      </c>
      <c r="D47" s="95" t="s">
        <v>76</v>
      </c>
      <c r="E47" s="95" t="s">
        <v>71</v>
      </c>
      <c r="F47" s="95" t="s">
        <v>79</v>
      </c>
      <c r="G47" s="95" t="s">
        <v>82</v>
      </c>
      <c r="H47" s="95" t="s">
        <v>68</v>
      </c>
      <c r="I47" s="95" t="s">
        <v>15</v>
      </c>
      <c r="J47" s="95">
        <v>2</v>
      </c>
      <c r="K47" s="110">
        <v>288000</v>
      </c>
      <c r="L47" s="106">
        <v>104000</v>
      </c>
      <c r="M47" s="105">
        <v>100000</v>
      </c>
      <c r="N47" s="106">
        <v>64000</v>
      </c>
      <c r="O47" s="106">
        <f>(FarmerOUTCOMES[[#This Row],[1- Current revenue from fruits and veg]]-FarmerOUTCOMES[[#This Row],[Current costs of production for fruits and veg]])-(FarmerOUTCOMES[[#This Row],[Previous revenue from fruit and veg]]-FarmerOUTCOMES[[#This Row],[Previous cost of production for fruits andveg]])*(1-FarmerOUTCOMES[[#This Row],[1-CF factor]])</f>
        <v>148000</v>
      </c>
      <c r="P47" s="94" t="s">
        <v>124</v>
      </c>
      <c r="Q47" s="95" t="s">
        <v>126</v>
      </c>
      <c r="R47" s="95">
        <f>VLOOKUP(FarmerOUTCOMES[[#This Row],[DI-Group/Location]], CFfarmer1[],3,FALSE)</f>
        <v>0</v>
      </c>
      <c r="S47" t="s">
        <v>205</v>
      </c>
      <c r="T47" s="86">
        <v>1</v>
      </c>
      <c r="U47" s="68">
        <v>0</v>
      </c>
      <c r="V47" s="49">
        <v>32000</v>
      </c>
      <c r="W47" s="49">
        <v>70000</v>
      </c>
      <c r="X47" s="49">
        <f>SUM(FarmerOUTCOMES[[#This Row],[Value of benefit A]:[Value of benefit C]])*(1-FarmerOUTCOMES[[#This Row],[2-CF Factor]])</f>
        <v>102000</v>
      </c>
      <c r="Y47" s="68">
        <f>VLOOKUP(FarmerOUTCOMES[[#This Row],[DI-Group/Location]],CFfarmer2[],3,FALSE)</f>
        <v>0</v>
      </c>
      <c r="Z47" s="157" t="s">
        <v>206</v>
      </c>
      <c r="AA47" s="38">
        <v>8000</v>
      </c>
      <c r="AB47" s="38">
        <v>32000</v>
      </c>
      <c r="AC47" s="38"/>
      <c r="AD47" s="87">
        <f>VLOOKUP(FarmerOUTCOMES[[#This Row],[DI-Group/Location]],CFfarmer3[],3,FALSE)</f>
        <v>0</v>
      </c>
      <c r="AE47" s="99" t="s">
        <v>207</v>
      </c>
      <c r="AF47" s="107">
        <v>0</v>
      </c>
      <c r="AG47" s="244">
        <v>5000</v>
      </c>
      <c r="AH47" s="71"/>
      <c r="AI47" s="87">
        <v>0</v>
      </c>
      <c r="AJ47" s="99" t="s">
        <v>207</v>
      </c>
      <c r="AK47" s="87">
        <v>0</v>
      </c>
      <c r="AL47" s="108">
        <v>0</v>
      </c>
      <c r="AM47" s="87">
        <v>0</v>
      </c>
      <c r="AN47" s="91" t="s">
        <v>82</v>
      </c>
      <c r="AO47" s="91"/>
      <c r="AP47" s="52">
        <v>0</v>
      </c>
      <c r="AQ47" s="99" t="s">
        <v>208</v>
      </c>
      <c r="AR47" s="249">
        <v>5000</v>
      </c>
      <c r="AS47" s="170"/>
      <c r="AT47" s="50">
        <v>0</v>
      </c>
      <c r="AU47" s="68" t="s">
        <v>82</v>
      </c>
      <c r="AV47" s="88" t="s">
        <v>82</v>
      </c>
      <c r="AW47" s="93" t="s">
        <v>82</v>
      </c>
      <c r="AX47" s="279" t="e">
        <f>IF(FarmerOUTCOMES[[#This Row],[Discretionary expenditure  ]]&lt;&gt;0,FarmerOUTCOMES[[#This Row],[Willingness to accept compensation]]/FarmerOUTCOMES[[#This Row],[Discretionary expenditure  ]],0)</f>
        <v>#VALUE!</v>
      </c>
      <c r="AY47" s="93"/>
      <c r="AZ47" s="68">
        <v>0</v>
      </c>
      <c r="BA47" s="99" t="s">
        <v>209</v>
      </c>
      <c r="BB47" s="93" t="s">
        <v>82</v>
      </c>
      <c r="BC47" s="93" t="s">
        <v>82</v>
      </c>
      <c r="BD47" s="93" t="s">
        <v>82</v>
      </c>
      <c r="BE47" s="93" t="s">
        <v>82</v>
      </c>
      <c r="BF47" s="93" t="s">
        <v>82</v>
      </c>
    </row>
    <row r="48" spans="1:58" s="117" customFormat="1" ht="15.6" x14ac:dyDescent="0.3">
      <c r="A48" s="3">
        <v>44</v>
      </c>
      <c r="B48" s="43" t="s">
        <v>134</v>
      </c>
      <c r="C48" s="95" t="s">
        <v>75</v>
      </c>
      <c r="D48" s="95" t="s">
        <v>76</v>
      </c>
      <c r="E48" s="95" t="s">
        <v>71</v>
      </c>
      <c r="F48" s="95" t="s">
        <v>79</v>
      </c>
      <c r="G48" s="95" t="s">
        <v>82</v>
      </c>
      <c r="H48" s="95" t="s">
        <v>68</v>
      </c>
      <c r="I48" s="95" t="s">
        <v>15</v>
      </c>
      <c r="J48" s="95">
        <v>2</v>
      </c>
      <c r="K48" s="110">
        <v>850000</v>
      </c>
      <c r="L48" s="106">
        <v>180000</v>
      </c>
      <c r="M48" s="105">
        <v>400000</v>
      </c>
      <c r="N48" s="111">
        <v>165000</v>
      </c>
      <c r="O48" s="111">
        <f>(FarmerOUTCOMES[[#This Row],[1- Current revenue from fruits and veg]]-FarmerOUTCOMES[[#This Row],[Current costs of production for fruits and veg]])-(FarmerOUTCOMES[[#This Row],[Previous revenue from fruit and veg]]-FarmerOUTCOMES[[#This Row],[Previous cost of production for fruits andveg]])*(1-FarmerOUTCOMES[[#This Row],[1-CF factor]])</f>
        <v>435000</v>
      </c>
      <c r="P48" s="94" t="s">
        <v>124</v>
      </c>
      <c r="Q48" s="94" t="s">
        <v>15</v>
      </c>
      <c r="R48" s="94">
        <f>VLOOKUP(FarmerOUTCOMES[[#This Row],[DI-Group/Location]], CFfarmer1[],3,FALSE)</f>
        <v>0</v>
      </c>
      <c r="S48" t="s">
        <v>205</v>
      </c>
      <c r="T48" s="86">
        <v>1</v>
      </c>
      <c r="U48" s="68">
        <v>0</v>
      </c>
      <c r="V48" s="49">
        <v>60000</v>
      </c>
      <c r="W48" s="49">
        <v>100000</v>
      </c>
      <c r="X48" s="49">
        <f>SUM(FarmerOUTCOMES[[#This Row],[Value of benefit A]:[Value of benefit C]])*(1-FarmerOUTCOMES[[#This Row],[2-CF Factor]])</f>
        <v>160000</v>
      </c>
      <c r="Y48" s="68">
        <f>VLOOKUP(FarmerOUTCOMES[[#This Row],[DI-Group/Location]],CFfarmer2[],3,FALSE)</f>
        <v>0</v>
      </c>
      <c r="Z48" s="157" t="s">
        <v>206</v>
      </c>
      <c r="AA48" s="38">
        <v>14000</v>
      </c>
      <c r="AB48" s="38">
        <v>60000</v>
      </c>
      <c r="AC48" s="38"/>
      <c r="AD48" s="87">
        <f>VLOOKUP(FarmerOUTCOMES[[#This Row],[DI-Group/Location]],CFfarmer3[],3,FALSE)</f>
        <v>0</v>
      </c>
      <c r="AE48" s="99" t="s">
        <v>207</v>
      </c>
      <c r="AF48" s="107">
        <v>0</v>
      </c>
      <c r="AG48" s="244">
        <v>3000</v>
      </c>
      <c r="AH48" s="71"/>
      <c r="AI48" s="87">
        <v>0</v>
      </c>
      <c r="AJ48" s="99" t="s">
        <v>207</v>
      </c>
      <c r="AK48" s="87">
        <v>0</v>
      </c>
      <c r="AL48" s="108">
        <v>0</v>
      </c>
      <c r="AM48" s="87">
        <v>0</v>
      </c>
      <c r="AN48" s="91" t="s">
        <v>82</v>
      </c>
      <c r="AO48" s="91"/>
      <c r="AP48" s="52">
        <v>0</v>
      </c>
      <c r="AQ48" s="99" t="s">
        <v>208</v>
      </c>
      <c r="AR48" s="249">
        <v>3000</v>
      </c>
      <c r="AS48" s="170"/>
      <c r="AT48" s="50">
        <v>0</v>
      </c>
      <c r="AU48" s="68" t="s">
        <v>82</v>
      </c>
      <c r="AV48" s="88" t="s">
        <v>82</v>
      </c>
      <c r="AW48" s="93" t="s">
        <v>82</v>
      </c>
      <c r="AX48" s="279" t="e">
        <f>IF(FarmerOUTCOMES[[#This Row],[Discretionary expenditure  ]]&lt;&gt;0,FarmerOUTCOMES[[#This Row],[Willingness to accept compensation]]/FarmerOUTCOMES[[#This Row],[Discretionary expenditure  ]],0)</f>
        <v>#VALUE!</v>
      </c>
      <c r="AY48" s="93"/>
      <c r="AZ48" s="68">
        <v>0</v>
      </c>
      <c r="BA48" s="99" t="s">
        <v>209</v>
      </c>
      <c r="BB48" s="93" t="s">
        <v>82</v>
      </c>
      <c r="BC48" s="93" t="s">
        <v>82</v>
      </c>
      <c r="BD48" s="93" t="s">
        <v>82</v>
      </c>
      <c r="BE48" s="93" t="s">
        <v>82</v>
      </c>
      <c r="BF48" s="93" t="s">
        <v>82</v>
      </c>
    </row>
    <row r="49" spans="1:58" s="117" customFormat="1" x14ac:dyDescent="0.3">
      <c r="A49" s="3">
        <v>45</v>
      </c>
      <c r="B49" s="43" t="s">
        <v>135</v>
      </c>
      <c r="C49" s="95" t="s">
        <v>72</v>
      </c>
      <c r="D49" s="95" t="s">
        <v>76</v>
      </c>
      <c r="E49" s="95" t="s">
        <v>71</v>
      </c>
      <c r="F49" s="95" t="s">
        <v>79</v>
      </c>
      <c r="G49" s="95" t="s">
        <v>82</v>
      </c>
      <c r="H49" s="95" t="s">
        <v>68</v>
      </c>
      <c r="I49" s="95" t="s">
        <v>15</v>
      </c>
      <c r="J49" s="95">
        <v>2</v>
      </c>
      <c r="K49" s="105">
        <v>6117500</v>
      </c>
      <c r="L49" s="106">
        <v>740000</v>
      </c>
      <c r="M49" s="105">
        <v>5250000</v>
      </c>
      <c r="N49" s="106">
        <v>810000</v>
      </c>
      <c r="O49" s="41">
        <f>(FarmerOUTCOMES[[#This Row],[1- Current revenue from fruits and veg]]-FarmerOUTCOMES[[#This Row],[Current costs of production for fruits and veg]])-(FarmerOUTCOMES[[#This Row],[Previous revenue from fruit and veg]]-FarmerOUTCOMES[[#This Row],[Previous cost of production for fruits andveg]])*(1-FarmerOUTCOMES[[#This Row],[1-CF factor]])</f>
        <v>937500</v>
      </c>
      <c r="P49" s="94" t="s">
        <v>124</v>
      </c>
      <c r="Q49" s="94" t="s">
        <v>15</v>
      </c>
      <c r="R49" s="94">
        <f>VLOOKUP(FarmerOUTCOMES[[#This Row],[DI-Group/Location]], CFfarmer1[],3,FALSE)</f>
        <v>0</v>
      </c>
      <c r="S49" t="s">
        <v>205</v>
      </c>
      <c r="T49" s="86">
        <v>1</v>
      </c>
      <c r="U49" s="68">
        <v>0</v>
      </c>
      <c r="V49" s="49">
        <v>60000</v>
      </c>
      <c r="W49" s="49">
        <v>170000</v>
      </c>
      <c r="X49" s="49">
        <f>SUM(FarmerOUTCOMES[[#This Row],[Value of benefit A]:[Value of benefit C]])*(1-FarmerOUTCOMES[[#This Row],[2-CF Factor]])</f>
        <v>230000</v>
      </c>
      <c r="Y49" s="68">
        <f>VLOOKUP(FarmerOUTCOMES[[#This Row],[DI-Group/Location]],CFfarmer2[],3,FALSE)</f>
        <v>0</v>
      </c>
      <c r="Z49" s="157" t="s">
        <v>206</v>
      </c>
      <c r="AA49" s="38">
        <v>15000</v>
      </c>
      <c r="AB49" s="38">
        <v>60000</v>
      </c>
      <c r="AC49" s="38"/>
      <c r="AD49" s="87">
        <f>VLOOKUP(FarmerOUTCOMES[[#This Row],[DI-Group/Location]],CFfarmer3[],3,FALSE)</f>
        <v>0</v>
      </c>
      <c r="AE49" s="99" t="s">
        <v>207</v>
      </c>
      <c r="AF49" s="107">
        <v>0</v>
      </c>
      <c r="AG49" s="245">
        <v>4000</v>
      </c>
      <c r="AH49" s="112"/>
      <c r="AI49" s="87">
        <v>0</v>
      </c>
      <c r="AJ49" s="99" t="s">
        <v>207</v>
      </c>
      <c r="AK49" s="87">
        <v>0</v>
      </c>
      <c r="AL49" s="108">
        <v>0</v>
      </c>
      <c r="AM49" s="87">
        <v>0</v>
      </c>
      <c r="AN49" s="91" t="s">
        <v>82</v>
      </c>
      <c r="AO49" s="91"/>
      <c r="AP49" s="52">
        <v>0</v>
      </c>
      <c r="AQ49" s="99" t="s">
        <v>208</v>
      </c>
      <c r="AR49" s="250">
        <v>4000</v>
      </c>
      <c r="AS49" s="171"/>
      <c r="AT49" s="50">
        <v>0</v>
      </c>
      <c r="AU49" s="68" t="s">
        <v>82</v>
      </c>
      <c r="AV49" s="88" t="s">
        <v>82</v>
      </c>
      <c r="AW49" s="93" t="s">
        <v>82</v>
      </c>
      <c r="AX49" s="279" t="e">
        <f>IF(FarmerOUTCOMES[[#This Row],[Discretionary expenditure  ]]&lt;&gt;0,FarmerOUTCOMES[[#This Row],[Willingness to accept compensation]]/FarmerOUTCOMES[[#This Row],[Discretionary expenditure  ]],0)</f>
        <v>#VALUE!</v>
      </c>
      <c r="AY49" s="93"/>
      <c r="AZ49" s="68">
        <v>0</v>
      </c>
      <c r="BA49" s="99" t="s">
        <v>209</v>
      </c>
      <c r="BB49" s="93" t="s">
        <v>82</v>
      </c>
      <c r="BC49" s="93" t="s">
        <v>82</v>
      </c>
      <c r="BD49" s="93" t="s">
        <v>82</v>
      </c>
      <c r="BE49" s="93" t="s">
        <v>82</v>
      </c>
      <c r="BF49" s="93" t="s">
        <v>82</v>
      </c>
    </row>
    <row r="50" spans="1:58" s="117" customFormat="1" x14ac:dyDescent="0.3">
      <c r="A50" s="3">
        <v>46</v>
      </c>
      <c r="B50" s="37" t="s">
        <v>136</v>
      </c>
      <c r="C50" s="95" t="s">
        <v>74</v>
      </c>
      <c r="D50" s="95" t="s">
        <v>76</v>
      </c>
      <c r="E50" s="95" t="s">
        <v>71</v>
      </c>
      <c r="F50" s="95" t="s">
        <v>79</v>
      </c>
      <c r="G50" s="95" t="s">
        <v>82</v>
      </c>
      <c r="H50" s="95" t="s">
        <v>68</v>
      </c>
      <c r="I50" s="95" t="s">
        <v>15</v>
      </c>
      <c r="J50" s="95">
        <v>2</v>
      </c>
      <c r="K50" s="105">
        <v>780000</v>
      </c>
      <c r="L50" s="106">
        <v>255200</v>
      </c>
      <c r="M50" s="105">
        <v>270000</v>
      </c>
      <c r="N50" s="106">
        <v>187200</v>
      </c>
      <c r="O50" s="106">
        <f>(FarmerOUTCOMES[[#This Row],[1- Current revenue from fruits and veg]]-FarmerOUTCOMES[[#This Row],[Current costs of production for fruits and veg]])-(FarmerOUTCOMES[[#This Row],[Previous revenue from fruit and veg]]-FarmerOUTCOMES[[#This Row],[Previous cost of production for fruits andveg]])*(1-FarmerOUTCOMES[[#This Row],[1-CF factor]])</f>
        <v>442000</v>
      </c>
      <c r="P50" s="94" t="s">
        <v>124</v>
      </c>
      <c r="Q50" s="94" t="s">
        <v>15</v>
      </c>
      <c r="R50" s="94">
        <f>VLOOKUP(FarmerOUTCOMES[[#This Row],[DI-Group/Location]], CFfarmer1[],3,FALSE)</f>
        <v>0</v>
      </c>
      <c r="S50" t="s">
        <v>205</v>
      </c>
      <c r="T50" s="86">
        <v>1</v>
      </c>
      <c r="U50" s="68">
        <v>0</v>
      </c>
      <c r="V50" s="49">
        <v>32000</v>
      </c>
      <c r="W50" s="49">
        <v>40000</v>
      </c>
      <c r="X50" s="49">
        <f>SUM(FarmerOUTCOMES[[#This Row],[Value of benefit A]:[Value of benefit C]])*(1-FarmerOUTCOMES[[#This Row],[2-CF Factor]])</f>
        <v>72000</v>
      </c>
      <c r="Y50" s="68">
        <f>VLOOKUP(FarmerOUTCOMES[[#This Row],[DI-Group/Location]],CFfarmer2[],3,FALSE)</f>
        <v>0</v>
      </c>
      <c r="Z50" s="157" t="s">
        <v>206</v>
      </c>
      <c r="AA50" s="41">
        <v>13000</v>
      </c>
      <c r="AB50" s="38">
        <v>32000</v>
      </c>
      <c r="AC50" s="38"/>
      <c r="AD50" s="87">
        <f>VLOOKUP(FarmerOUTCOMES[[#This Row],[DI-Group/Location]],CFfarmer3[],3,FALSE)</f>
        <v>0</v>
      </c>
      <c r="AE50" s="99" t="s">
        <v>207</v>
      </c>
      <c r="AF50" s="107">
        <v>0</v>
      </c>
      <c r="AG50" s="244">
        <v>4000</v>
      </c>
      <c r="AH50" s="71"/>
      <c r="AI50" s="87">
        <v>0</v>
      </c>
      <c r="AJ50" s="99" t="s">
        <v>207</v>
      </c>
      <c r="AK50" s="87">
        <v>0</v>
      </c>
      <c r="AL50" s="108">
        <v>0</v>
      </c>
      <c r="AM50" s="87">
        <v>0</v>
      </c>
      <c r="AN50" s="91" t="s">
        <v>82</v>
      </c>
      <c r="AO50" s="91"/>
      <c r="AP50" s="52">
        <v>0</v>
      </c>
      <c r="AQ50" s="99" t="s">
        <v>208</v>
      </c>
      <c r="AR50" s="249">
        <v>4000</v>
      </c>
      <c r="AS50" s="170"/>
      <c r="AT50" s="50">
        <v>0</v>
      </c>
      <c r="AU50" s="68" t="s">
        <v>82</v>
      </c>
      <c r="AV50" s="88" t="s">
        <v>82</v>
      </c>
      <c r="AW50" s="93" t="s">
        <v>82</v>
      </c>
      <c r="AX50" s="279" t="e">
        <f>IF(FarmerOUTCOMES[[#This Row],[Discretionary expenditure  ]]&lt;&gt;0,FarmerOUTCOMES[[#This Row],[Willingness to accept compensation]]/FarmerOUTCOMES[[#This Row],[Discretionary expenditure  ]],0)</f>
        <v>#VALUE!</v>
      </c>
      <c r="AY50" s="93"/>
      <c r="AZ50" s="68">
        <v>0</v>
      </c>
      <c r="BA50" s="99" t="s">
        <v>209</v>
      </c>
      <c r="BB50" s="93" t="s">
        <v>82</v>
      </c>
      <c r="BC50" s="93" t="s">
        <v>82</v>
      </c>
      <c r="BD50" s="93" t="s">
        <v>82</v>
      </c>
      <c r="BE50" s="93" t="s">
        <v>82</v>
      </c>
      <c r="BF50" s="93" t="s">
        <v>82</v>
      </c>
    </row>
    <row r="51" spans="1:58" s="117" customFormat="1" x14ac:dyDescent="0.3">
      <c r="A51" s="3">
        <v>47</v>
      </c>
      <c r="B51" s="37" t="s">
        <v>137</v>
      </c>
      <c r="C51" s="95" t="s">
        <v>75</v>
      </c>
      <c r="D51" s="95" t="s">
        <v>77</v>
      </c>
      <c r="E51" s="95" t="s">
        <v>71</v>
      </c>
      <c r="F51" s="95" t="s">
        <v>79</v>
      </c>
      <c r="G51" s="95" t="s">
        <v>82</v>
      </c>
      <c r="H51" s="95" t="s">
        <v>68</v>
      </c>
      <c r="I51" s="95" t="s">
        <v>15</v>
      </c>
      <c r="J51" s="95">
        <v>2</v>
      </c>
      <c r="K51" s="105">
        <v>1000000</v>
      </c>
      <c r="L51" s="106">
        <v>73000</v>
      </c>
      <c r="M51" s="105">
        <v>770000</v>
      </c>
      <c r="N51" s="106">
        <v>73000</v>
      </c>
      <c r="O51" s="106">
        <f>(FarmerOUTCOMES[[#This Row],[1- Current revenue from fruits and veg]]-FarmerOUTCOMES[[#This Row],[Current costs of production for fruits and veg]])-(FarmerOUTCOMES[[#This Row],[Previous revenue from fruit and veg]]-FarmerOUTCOMES[[#This Row],[Previous cost of production for fruits andveg]])*(1-FarmerOUTCOMES[[#This Row],[1-CF factor]])</f>
        <v>230000</v>
      </c>
      <c r="P51" s="94" t="s">
        <v>79</v>
      </c>
      <c r="Q51" s="94" t="s">
        <v>15</v>
      </c>
      <c r="R51" s="94">
        <f>VLOOKUP(FarmerOUTCOMES[[#This Row],[DI-Group/Location]], CFfarmer1[],3,FALSE)</f>
        <v>0</v>
      </c>
      <c r="S51" t="s">
        <v>205</v>
      </c>
      <c r="T51" s="86">
        <v>1</v>
      </c>
      <c r="U51" s="68">
        <v>0</v>
      </c>
      <c r="V51" s="49">
        <v>20000</v>
      </c>
      <c r="W51" s="49">
        <v>55000</v>
      </c>
      <c r="X51" s="49">
        <f>SUM(FarmerOUTCOMES[[#This Row],[Value of benefit A]:[Value of benefit C]])*(1-FarmerOUTCOMES[[#This Row],[2-CF Factor]])</f>
        <v>75000</v>
      </c>
      <c r="Y51" s="68">
        <f>VLOOKUP(FarmerOUTCOMES[[#This Row],[DI-Group/Location]],CFfarmer2[],3,FALSE)</f>
        <v>0</v>
      </c>
      <c r="Z51" s="157" t="s">
        <v>206</v>
      </c>
      <c r="AA51" s="38">
        <v>10000</v>
      </c>
      <c r="AB51" s="38">
        <v>20000</v>
      </c>
      <c r="AC51" s="38"/>
      <c r="AD51" s="87">
        <f>VLOOKUP(FarmerOUTCOMES[[#This Row],[DI-Group/Location]],CFfarmer3[],3,FALSE)</f>
        <v>0</v>
      </c>
      <c r="AE51" s="99" t="s">
        <v>207</v>
      </c>
      <c r="AF51" s="107">
        <v>0</v>
      </c>
      <c r="AG51" s="245">
        <v>2000</v>
      </c>
      <c r="AH51" s="112"/>
      <c r="AI51" s="87">
        <v>0</v>
      </c>
      <c r="AJ51" s="99" t="s">
        <v>207</v>
      </c>
      <c r="AK51" s="87">
        <v>0</v>
      </c>
      <c r="AL51" s="108">
        <v>0</v>
      </c>
      <c r="AM51" s="87">
        <v>0</v>
      </c>
      <c r="AN51" s="91" t="s">
        <v>82</v>
      </c>
      <c r="AO51" s="91"/>
      <c r="AP51" s="52">
        <v>0</v>
      </c>
      <c r="AQ51" s="99" t="s">
        <v>208</v>
      </c>
      <c r="AR51" s="250">
        <v>2000</v>
      </c>
      <c r="AS51" s="171"/>
      <c r="AT51" s="50">
        <v>0</v>
      </c>
      <c r="AU51" s="68" t="s">
        <v>82</v>
      </c>
      <c r="AV51" s="40">
        <v>0</v>
      </c>
      <c r="AW51" s="77">
        <v>0</v>
      </c>
      <c r="AX51" s="273">
        <f>IF(FarmerOUTCOMES[[#This Row],[Discretionary expenditure  ]]&lt;&gt;0,FarmerOUTCOMES[[#This Row],[Willingness to accept compensation]]/FarmerOUTCOMES[[#This Row],[Discretionary expenditure  ]],0)</f>
        <v>0</v>
      </c>
      <c r="AY51" s="77"/>
      <c r="AZ51" s="68">
        <v>0</v>
      </c>
      <c r="BA51" s="99" t="s">
        <v>209</v>
      </c>
      <c r="BB51" s="93" t="s">
        <v>82</v>
      </c>
      <c r="BC51" s="93" t="s">
        <v>82</v>
      </c>
      <c r="BD51" s="93" t="s">
        <v>82</v>
      </c>
      <c r="BE51" s="93" t="s">
        <v>82</v>
      </c>
      <c r="BF51" s="93" t="s">
        <v>82</v>
      </c>
    </row>
    <row r="52" spans="1:58" s="117" customFormat="1" x14ac:dyDescent="0.3">
      <c r="A52" s="3">
        <v>48</v>
      </c>
      <c r="B52" s="37" t="s">
        <v>138</v>
      </c>
      <c r="C52" s="95" t="s">
        <v>75</v>
      </c>
      <c r="D52" s="95" t="s">
        <v>77</v>
      </c>
      <c r="E52" s="95" t="s">
        <v>71</v>
      </c>
      <c r="F52" s="95" t="s">
        <v>79</v>
      </c>
      <c r="G52" s="95" t="s">
        <v>82</v>
      </c>
      <c r="H52" s="95" t="s">
        <v>68</v>
      </c>
      <c r="I52" s="95" t="s">
        <v>15</v>
      </c>
      <c r="J52" s="95">
        <v>2</v>
      </c>
      <c r="K52" s="105">
        <v>1550000</v>
      </c>
      <c r="L52" s="106">
        <v>177000</v>
      </c>
      <c r="M52" s="105">
        <v>810000</v>
      </c>
      <c r="N52" s="106">
        <v>177000</v>
      </c>
      <c r="O52" s="106">
        <f>(FarmerOUTCOMES[[#This Row],[1- Current revenue from fruits and veg]]-FarmerOUTCOMES[[#This Row],[Current costs of production for fruits and veg]])-(FarmerOUTCOMES[[#This Row],[Previous revenue from fruit and veg]]-FarmerOUTCOMES[[#This Row],[Previous cost of production for fruits andveg]])*(1-FarmerOUTCOMES[[#This Row],[1-CF factor]])</f>
        <v>740000</v>
      </c>
      <c r="P52" s="94" t="s">
        <v>124</v>
      </c>
      <c r="Q52" s="94" t="s">
        <v>15</v>
      </c>
      <c r="R52" s="94">
        <f>VLOOKUP(FarmerOUTCOMES[[#This Row],[DI-Group/Location]], CFfarmer1[],3,FALSE)</f>
        <v>0</v>
      </c>
      <c r="S52" t="s">
        <v>205</v>
      </c>
      <c r="T52" s="86">
        <v>1</v>
      </c>
      <c r="U52" s="68">
        <v>0</v>
      </c>
      <c r="V52" s="49">
        <v>12000</v>
      </c>
      <c r="W52" s="49">
        <v>60000</v>
      </c>
      <c r="X52" s="49">
        <f>SUM(FarmerOUTCOMES[[#This Row],[Value of benefit A]:[Value of benefit C]])*(1-FarmerOUTCOMES[[#This Row],[2-CF Factor]])</f>
        <v>72000</v>
      </c>
      <c r="Y52" s="68">
        <f>VLOOKUP(FarmerOUTCOMES[[#This Row],[DI-Group/Location]],CFfarmer2[],3,FALSE)</f>
        <v>0</v>
      </c>
      <c r="Z52" s="157" t="s">
        <v>206</v>
      </c>
      <c r="AA52" s="38">
        <v>10000</v>
      </c>
      <c r="AB52" s="38">
        <v>12000</v>
      </c>
      <c r="AC52" s="38"/>
      <c r="AD52" s="87">
        <f>VLOOKUP(FarmerOUTCOMES[[#This Row],[DI-Group/Location]],CFfarmer3[],3,FALSE)</f>
        <v>0</v>
      </c>
      <c r="AE52" s="99" t="s">
        <v>207</v>
      </c>
      <c r="AF52" s="107">
        <v>0</v>
      </c>
      <c r="AG52" s="244">
        <v>4000</v>
      </c>
      <c r="AH52" s="71"/>
      <c r="AI52" s="87">
        <v>0</v>
      </c>
      <c r="AJ52" s="99" t="s">
        <v>207</v>
      </c>
      <c r="AK52" s="87">
        <v>0</v>
      </c>
      <c r="AL52" s="108">
        <v>0</v>
      </c>
      <c r="AM52" s="87">
        <v>0</v>
      </c>
      <c r="AN52" s="91" t="s">
        <v>82</v>
      </c>
      <c r="AO52" s="91"/>
      <c r="AP52" s="52">
        <v>0</v>
      </c>
      <c r="AQ52" s="99" t="s">
        <v>208</v>
      </c>
      <c r="AR52" s="249">
        <v>4000</v>
      </c>
      <c r="AS52" s="170"/>
      <c r="AT52" s="50">
        <v>0</v>
      </c>
      <c r="AU52" s="68" t="s">
        <v>82</v>
      </c>
      <c r="AV52" s="150">
        <v>1500000</v>
      </c>
      <c r="AW52" s="78">
        <v>100000</v>
      </c>
      <c r="AX52" s="273">
        <f>IF(FarmerOUTCOMES[[#This Row],[Discretionary expenditure  ]]&lt;&gt;0,FarmerOUTCOMES[[#This Row],[Willingness to accept compensation]]/FarmerOUTCOMES[[#This Row],[Discretionary expenditure  ]],0)</f>
        <v>6.6666666666666666E-2</v>
      </c>
      <c r="AY52" s="78"/>
      <c r="AZ52" s="68">
        <v>0</v>
      </c>
      <c r="BA52" s="99" t="s">
        <v>209</v>
      </c>
      <c r="BB52" s="93" t="s">
        <v>82</v>
      </c>
      <c r="BC52" s="93" t="s">
        <v>82</v>
      </c>
      <c r="BD52" s="93" t="s">
        <v>82</v>
      </c>
      <c r="BE52" s="93" t="s">
        <v>82</v>
      </c>
      <c r="BF52" s="93" t="s">
        <v>82</v>
      </c>
    </row>
    <row r="53" spans="1:58" s="117" customFormat="1" x14ac:dyDescent="0.3">
      <c r="A53" s="3">
        <v>49</v>
      </c>
      <c r="B53" s="37" t="s">
        <v>139</v>
      </c>
      <c r="C53" s="95" t="s">
        <v>74</v>
      </c>
      <c r="D53" s="95" t="s">
        <v>77</v>
      </c>
      <c r="E53" s="95" t="s">
        <v>71</v>
      </c>
      <c r="F53" s="95" t="s">
        <v>79</v>
      </c>
      <c r="G53" s="95" t="s">
        <v>82</v>
      </c>
      <c r="H53" s="95" t="s">
        <v>68</v>
      </c>
      <c r="I53" s="95" t="s">
        <v>15</v>
      </c>
      <c r="J53" s="95">
        <v>2</v>
      </c>
      <c r="K53" s="105">
        <v>4500000</v>
      </c>
      <c r="L53" s="106">
        <v>73000</v>
      </c>
      <c r="M53" s="105">
        <v>250000</v>
      </c>
      <c r="N53" s="106">
        <v>56000</v>
      </c>
      <c r="O53" s="106">
        <f>(FarmerOUTCOMES[[#This Row],[1- Current revenue from fruits and veg]]-FarmerOUTCOMES[[#This Row],[Current costs of production for fruits and veg]])-(FarmerOUTCOMES[[#This Row],[Previous revenue from fruit and veg]]-FarmerOUTCOMES[[#This Row],[Previous cost of production for fruits andveg]])*(1-FarmerOUTCOMES[[#This Row],[1-CF factor]])</f>
        <v>4233000</v>
      </c>
      <c r="P53" s="94" t="s">
        <v>124</v>
      </c>
      <c r="Q53" s="94" t="s">
        <v>15</v>
      </c>
      <c r="R53" s="94">
        <f>VLOOKUP(FarmerOUTCOMES[[#This Row],[DI-Group/Location]], CFfarmer1[],3,FALSE)</f>
        <v>0</v>
      </c>
      <c r="S53" t="s">
        <v>205</v>
      </c>
      <c r="T53" s="86">
        <v>1</v>
      </c>
      <c r="U53" s="68">
        <v>0</v>
      </c>
      <c r="V53" s="49">
        <v>20000</v>
      </c>
      <c r="W53" s="49">
        <v>70000</v>
      </c>
      <c r="X53" s="49">
        <f>SUM(FarmerOUTCOMES[[#This Row],[Value of benefit A]:[Value of benefit C]])*(1-FarmerOUTCOMES[[#This Row],[2-CF Factor]])</f>
        <v>90000</v>
      </c>
      <c r="Y53" s="68">
        <f>VLOOKUP(FarmerOUTCOMES[[#This Row],[DI-Group/Location]],CFfarmer2[],3,FALSE)</f>
        <v>0</v>
      </c>
      <c r="Z53" s="157" t="s">
        <v>206</v>
      </c>
      <c r="AA53" s="38">
        <v>11000</v>
      </c>
      <c r="AB53" s="38">
        <v>20000</v>
      </c>
      <c r="AC53" s="38"/>
      <c r="AD53" s="87">
        <f>VLOOKUP(FarmerOUTCOMES[[#This Row],[DI-Group/Location]],CFfarmer3[],3,FALSE)</f>
        <v>0</v>
      </c>
      <c r="AE53" s="99" t="s">
        <v>207</v>
      </c>
      <c r="AF53" s="107">
        <v>0</v>
      </c>
      <c r="AG53" s="245">
        <v>5000</v>
      </c>
      <c r="AH53" s="112"/>
      <c r="AI53" s="87">
        <v>0</v>
      </c>
      <c r="AJ53" s="99" t="s">
        <v>207</v>
      </c>
      <c r="AK53" s="87">
        <v>0</v>
      </c>
      <c r="AL53" s="108">
        <v>0</v>
      </c>
      <c r="AM53" s="87">
        <v>0</v>
      </c>
      <c r="AN53" s="91" t="s">
        <v>82</v>
      </c>
      <c r="AO53" s="91"/>
      <c r="AP53" s="52">
        <v>0</v>
      </c>
      <c r="AQ53" s="99" t="s">
        <v>208</v>
      </c>
      <c r="AR53" s="250">
        <v>5000</v>
      </c>
      <c r="AS53" s="171"/>
      <c r="AT53" s="50">
        <v>0</v>
      </c>
      <c r="AU53" s="68" t="s">
        <v>82</v>
      </c>
      <c r="AV53" s="150">
        <v>1450000</v>
      </c>
      <c r="AW53" s="78">
        <v>150000</v>
      </c>
      <c r="AX53" s="273">
        <f>IF(FarmerOUTCOMES[[#This Row],[Discretionary expenditure  ]]&lt;&gt;0,FarmerOUTCOMES[[#This Row],[Willingness to accept compensation]]/FarmerOUTCOMES[[#This Row],[Discretionary expenditure  ]],0)</f>
        <v>0.10344827586206896</v>
      </c>
      <c r="AY53" s="78"/>
      <c r="AZ53" s="68">
        <v>0</v>
      </c>
      <c r="BA53" s="99" t="s">
        <v>209</v>
      </c>
      <c r="BB53" s="93" t="s">
        <v>82</v>
      </c>
      <c r="BC53" s="93" t="s">
        <v>82</v>
      </c>
      <c r="BD53" s="93" t="s">
        <v>82</v>
      </c>
      <c r="BE53" s="93" t="s">
        <v>82</v>
      </c>
      <c r="BF53" s="93" t="s">
        <v>82</v>
      </c>
    </row>
    <row r="54" spans="1:58" s="117" customFormat="1" x14ac:dyDescent="0.3">
      <c r="A54" s="3">
        <v>50</v>
      </c>
      <c r="B54" s="37" t="s">
        <v>140</v>
      </c>
      <c r="C54" s="95" t="s">
        <v>75</v>
      </c>
      <c r="D54" s="95" t="s">
        <v>77</v>
      </c>
      <c r="E54" s="95" t="s">
        <v>71</v>
      </c>
      <c r="F54" s="95" t="s">
        <v>79</v>
      </c>
      <c r="G54" s="95" t="s">
        <v>82</v>
      </c>
      <c r="H54" s="95" t="s">
        <v>68</v>
      </c>
      <c r="I54" s="95" t="s">
        <v>15</v>
      </c>
      <c r="J54" s="95">
        <v>2</v>
      </c>
      <c r="K54" s="105">
        <v>640000</v>
      </c>
      <c r="L54" s="106">
        <v>95000</v>
      </c>
      <c r="M54" s="105">
        <v>160000</v>
      </c>
      <c r="N54" s="106">
        <v>75000</v>
      </c>
      <c r="O54" s="106">
        <f>(FarmerOUTCOMES[[#This Row],[1- Current revenue from fruits and veg]]-FarmerOUTCOMES[[#This Row],[Current costs of production for fruits and veg]])-(FarmerOUTCOMES[[#This Row],[Previous revenue from fruit and veg]]-FarmerOUTCOMES[[#This Row],[Previous cost of production for fruits andveg]])*(1-FarmerOUTCOMES[[#This Row],[1-CF factor]])</f>
        <v>460000</v>
      </c>
      <c r="P54" s="94" t="s">
        <v>79</v>
      </c>
      <c r="Q54" s="94" t="s">
        <v>15</v>
      </c>
      <c r="R54" s="94">
        <f>VLOOKUP(FarmerOUTCOMES[[#This Row],[DI-Group/Location]], CFfarmer1[],3,FALSE)</f>
        <v>0</v>
      </c>
      <c r="S54" t="s">
        <v>205</v>
      </c>
      <c r="T54" s="86">
        <v>1</v>
      </c>
      <c r="U54" s="68">
        <v>0</v>
      </c>
      <c r="V54" s="49">
        <v>20000</v>
      </c>
      <c r="W54" s="49">
        <v>30000</v>
      </c>
      <c r="X54" s="49">
        <f>SUM(FarmerOUTCOMES[[#This Row],[Value of benefit A]:[Value of benefit C]])*(1-FarmerOUTCOMES[[#This Row],[2-CF Factor]])</f>
        <v>50000</v>
      </c>
      <c r="Y54" s="68">
        <f>VLOOKUP(FarmerOUTCOMES[[#This Row],[DI-Group/Location]],CFfarmer2[],3,FALSE)</f>
        <v>0</v>
      </c>
      <c r="Z54" s="157" t="s">
        <v>206</v>
      </c>
      <c r="AA54" s="38">
        <v>10000</v>
      </c>
      <c r="AB54" s="38">
        <v>20000</v>
      </c>
      <c r="AC54" s="38"/>
      <c r="AD54" s="87">
        <f>VLOOKUP(FarmerOUTCOMES[[#This Row],[DI-Group/Location]],CFfarmer3[],3,FALSE)</f>
        <v>0</v>
      </c>
      <c r="AE54" s="99" t="s">
        <v>207</v>
      </c>
      <c r="AF54" s="107">
        <v>0</v>
      </c>
      <c r="AG54" s="245">
        <v>2000</v>
      </c>
      <c r="AH54" s="112"/>
      <c r="AI54" s="87">
        <v>0</v>
      </c>
      <c r="AJ54" s="99" t="s">
        <v>207</v>
      </c>
      <c r="AK54" s="87">
        <v>0</v>
      </c>
      <c r="AL54" s="108">
        <v>0</v>
      </c>
      <c r="AM54" s="87">
        <v>0</v>
      </c>
      <c r="AN54" s="91" t="s">
        <v>82</v>
      </c>
      <c r="AO54" s="91"/>
      <c r="AP54" s="52">
        <v>0</v>
      </c>
      <c r="AQ54" s="99" t="s">
        <v>208</v>
      </c>
      <c r="AR54" s="250">
        <v>2000</v>
      </c>
      <c r="AS54" s="171"/>
      <c r="AT54" s="50">
        <v>0</v>
      </c>
      <c r="AU54" s="68" t="s">
        <v>82</v>
      </c>
      <c r="AV54" s="88">
        <v>0</v>
      </c>
      <c r="AW54" s="77">
        <v>0</v>
      </c>
      <c r="AX54" s="273">
        <f>IF(FarmerOUTCOMES[[#This Row],[Discretionary expenditure  ]]&lt;&gt;0,FarmerOUTCOMES[[#This Row],[Willingness to accept compensation]]/FarmerOUTCOMES[[#This Row],[Discretionary expenditure  ]],0)</f>
        <v>0</v>
      </c>
      <c r="AY54" s="77"/>
      <c r="AZ54" s="68">
        <v>0</v>
      </c>
      <c r="BA54" s="99" t="s">
        <v>209</v>
      </c>
      <c r="BB54" s="93" t="s">
        <v>82</v>
      </c>
      <c r="BC54" s="93" t="s">
        <v>82</v>
      </c>
      <c r="BD54" s="93" t="s">
        <v>82</v>
      </c>
      <c r="BE54" s="93" t="s">
        <v>82</v>
      </c>
      <c r="BF54" s="93" t="s">
        <v>82</v>
      </c>
    </row>
    <row r="55" spans="1:58" s="117" customFormat="1" x14ac:dyDescent="0.3">
      <c r="A55" s="3">
        <v>51</v>
      </c>
      <c r="B55" s="37" t="s">
        <v>141</v>
      </c>
      <c r="C55" s="95" t="s">
        <v>75</v>
      </c>
      <c r="D55" s="95" t="s">
        <v>77</v>
      </c>
      <c r="E55" s="95" t="s">
        <v>71</v>
      </c>
      <c r="F55" s="95" t="s">
        <v>79</v>
      </c>
      <c r="G55" s="95" t="s">
        <v>82</v>
      </c>
      <c r="H55" s="95" t="s">
        <v>68</v>
      </c>
      <c r="I55" s="95" t="s">
        <v>15</v>
      </c>
      <c r="J55" s="95">
        <v>2</v>
      </c>
      <c r="K55" s="105">
        <v>1950000</v>
      </c>
      <c r="L55" s="106">
        <v>346000</v>
      </c>
      <c r="M55" s="105">
        <v>1575000</v>
      </c>
      <c r="N55" s="106">
        <v>234000</v>
      </c>
      <c r="O55" s="106">
        <f>(FarmerOUTCOMES[[#This Row],[1- Current revenue from fruits and veg]]-FarmerOUTCOMES[[#This Row],[Current costs of production for fruits and veg]])-(FarmerOUTCOMES[[#This Row],[Previous revenue from fruit and veg]]-FarmerOUTCOMES[[#This Row],[Previous cost of production for fruits andveg]])*(1-FarmerOUTCOMES[[#This Row],[1-CF factor]])</f>
        <v>263000</v>
      </c>
      <c r="P55" s="94" t="s">
        <v>124</v>
      </c>
      <c r="Q55" s="94" t="s">
        <v>15</v>
      </c>
      <c r="R55" s="94">
        <f>VLOOKUP(FarmerOUTCOMES[[#This Row],[DI-Group/Location]], CFfarmer1[],3,FALSE)</f>
        <v>0</v>
      </c>
      <c r="S55" t="s">
        <v>205</v>
      </c>
      <c r="T55" s="86">
        <v>1</v>
      </c>
      <c r="U55" s="68">
        <v>0</v>
      </c>
      <c r="V55" s="49">
        <v>60000</v>
      </c>
      <c r="W55" s="49">
        <v>90000</v>
      </c>
      <c r="X55" s="49">
        <f>SUM(FarmerOUTCOMES[[#This Row],[Value of benefit A]:[Value of benefit C]])*(1-FarmerOUTCOMES[[#This Row],[2-CF Factor]])</f>
        <v>150000</v>
      </c>
      <c r="Y55" s="68">
        <f>VLOOKUP(FarmerOUTCOMES[[#This Row],[DI-Group/Location]],CFfarmer2[],3,FALSE)</f>
        <v>0</v>
      </c>
      <c r="Z55" s="157" t="s">
        <v>206</v>
      </c>
      <c r="AA55" s="38">
        <v>27000</v>
      </c>
      <c r="AB55" s="38">
        <v>60000</v>
      </c>
      <c r="AC55" s="38"/>
      <c r="AD55" s="87">
        <f>VLOOKUP(FarmerOUTCOMES[[#This Row],[DI-Group/Location]],CFfarmer3[],3,FALSE)</f>
        <v>0</v>
      </c>
      <c r="AE55" s="99" t="s">
        <v>207</v>
      </c>
      <c r="AF55" s="107">
        <v>0</v>
      </c>
      <c r="AG55" s="245">
        <v>5000</v>
      </c>
      <c r="AH55" s="112"/>
      <c r="AI55" s="87">
        <v>0</v>
      </c>
      <c r="AJ55" s="99" t="s">
        <v>207</v>
      </c>
      <c r="AK55" s="87">
        <v>0</v>
      </c>
      <c r="AL55" s="108">
        <v>0</v>
      </c>
      <c r="AM55" s="87">
        <v>0</v>
      </c>
      <c r="AN55" s="91" t="s">
        <v>82</v>
      </c>
      <c r="AO55" s="91"/>
      <c r="AP55" s="52">
        <v>0</v>
      </c>
      <c r="AQ55" s="99" t="s">
        <v>208</v>
      </c>
      <c r="AR55" s="250">
        <v>5000</v>
      </c>
      <c r="AS55" s="171"/>
      <c r="AT55" s="50">
        <v>0</v>
      </c>
      <c r="AU55" s="68" t="s">
        <v>82</v>
      </c>
      <c r="AV55" s="87">
        <v>850000</v>
      </c>
      <c r="AW55" s="78">
        <v>100000</v>
      </c>
      <c r="AX55" s="273">
        <f>IF(FarmerOUTCOMES[[#This Row],[Discretionary expenditure  ]]&lt;&gt;0,FarmerOUTCOMES[[#This Row],[Willingness to accept compensation]]/FarmerOUTCOMES[[#This Row],[Discretionary expenditure  ]],0)</f>
        <v>0.11764705882352941</v>
      </c>
      <c r="AY55" s="78"/>
      <c r="AZ55" s="68">
        <v>0</v>
      </c>
      <c r="BA55" s="99" t="s">
        <v>209</v>
      </c>
      <c r="BB55" s="93" t="s">
        <v>82</v>
      </c>
      <c r="BC55" s="93" t="s">
        <v>82</v>
      </c>
      <c r="BD55" s="93" t="s">
        <v>82</v>
      </c>
      <c r="BE55" s="93" t="s">
        <v>82</v>
      </c>
      <c r="BF55" s="93" t="s">
        <v>82</v>
      </c>
    </row>
    <row r="56" spans="1:58" s="117" customFormat="1" ht="15.6" x14ac:dyDescent="0.3">
      <c r="A56" s="3">
        <v>52</v>
      </c>
      <c r="B56" s="37" t="s">
        <v>142</v>
      </c>
      <c r="C56" s="95" t="s">
        <v>74</v>
      </c>
      <c r="D56" s="95" t="s">
        <v>76</v>
      </c>
      <c r="E56" s="95" t="s">
        <v>71</v>
      </c>
      <c r="F56" s="95" t="s">
        <v>79</v>
      </c>
      <c r="G56" s="95" t="s">
        <v>82</v>
      </c>
      <c r="H56" s="95" t="s">
        <v>68</v>
      </c>
      <c r="I56" s="95" t="s">
        <v>15</v>
      </c>
      <c r="J56" s="95">
        <v>2</v>
      </c>
      <c r="K56" s="110">
        <v>240000</v>
      </c>
      <c r="L56" s="106">
        <v>115000</v>
      </c>
      <c r="M56" s="110">
        <v>15000</v>
      </c>
      <c r="N56" s="106">
        <v>28000</v>
      </c>
      <c r="O56" s="106">
        <f>(FarmerOUTCOMES[[#This Row],[1- Current revenue from fruits and veg]]-FarmerOUTCOMES[[#This Row],[Current costs of production for fruits and veg]])-(FarmerOUTCOMES[[#This Row],[Previous revenue from fruit and veg]]-FarmerOUTCOMES[[#This Row],[Previous cost of production for fruits andveg]])*(1-FarmerOUTCOMES[[#This Row],[1-CF factor]])</f>
        <v>138000</v>
      </c>
      <c r="P56" s="94" t="s">
        <v>124</v>
      </c>
      <c r="Q56" s="94" t="s">
        <v>15</v>
      </c>
      <c r="R56" s="94">
        <f>VLOOKUP(FarmerOUTCOMES[[#This Row],[DI-Group/Location]], CFfarmer1[],3,FALSE)</f>
        <v>0</v>
      </c>
      <c r="S56" t="s">
        <v>205</v>
      </c>
      <c r="T56" s="86">
        <v>2</v>
      </c>
      <c r="U56" s="68">
        <v>0</v>
      </c>
      <c r="V56" s="38">
        <v>16000</v>
      </c>
      <c r="W56" s="38">
        <v>75000</v>
      </c>
      <c r="X56" s="38">
        <f>SUM(FarmerOUTCOMES[[#This Row],[Value of benefit A]:[Value of benefit C]])*(1-FarmerOUTCOMES[[#This Row],[2-CF Factor]])</f>
        <v>91000</v>
      </c>
      <c r="Y56" s="68">
        <f>VLOOKUP(FarmerOUTCOMES[[#This Row],[DI-Group/Location]],CFfarmer2[],3,FALSE)</f>
        <v>0</v>
      </c>
      <c r="Z56" s="157" t="s">
        <v>206</v>
      </c>
      <c r="AA56" s="38">
        <v>9000</v>
      </c>
      <c r="AB56" s="38">
        <v>16000</v>
      </c>
      <c r="AC56" s="38"/>
      <c r="AD56" s="87">
        <f>VLOOKUP(FarmerOUTCOMES[[#This Row],[DI-Group/Location]],CFfarmer3[],3,FALSE)</f>
        <v>0</v>
      </c>
      <c r="AE56" s="99" t="s">
        <v>207</v>
      </c>
      <c r="AF56" s="107">
        <v>0</v>
      </c>
      <c r="AG56" s="245">
        <v>5000</v>
      </c>
      <c r="AH56" s="112"/>
      <c r="AI56" s="87">
        <v>0</v>
      </c>
      <c r="AJ56" s="99" t="s">
        <v>207</v>
      </c>
      <c r="AK56" s="87">
        <v>0</v>
      </c>
      <c r="AL56" s="108">
        <v>0</v>
      </c>
      <c r="AM56" s="87">
        <v>0</v>
      </c>
      <c r="AN56" s="91" t="s">
        <v>82</v>
      </c>
      <c r="AO56" s="91"/>
      <c r="AP56" s="52">
        <v>0</v>
      </c>
      <c r="AQ56" s="99" t="s">
        <v>208</v>
      </c>
      <c r="AR56" s="250">
        <v>5000</v>
      </c>
      <c r="AS56" s="171"/>
      <c r="AT56" s="50">
        <v>0</v>
      </c>
      <c r="AU56" s="68" t="s">
        <v>82</v>
      </c>
      <c r="AV56" s="87">
        <v>530000</v>
      </c>
      <c r="AW56" s="254">
        <v>70000</v>
      </c>
      <c r="AX56" s="254">
        <f>IF(FarmerOUTCOMES[[#This Row],[Discretionary expenditure  ]]&lt;&gt;0,FarmerOUTCOMES[[#This Row],[Willingness to accept compensation]]/FarmerOUTCOMES[[#This Row],[Discretionary expenditure  ]],0)</f>
        <v>0.13207547169811321</v>
      </c>
      <c r="AY56" s="78"/>
      <c r="AZ56" s="68">
        <v>0</v>
      </c>
      <c r="BA56" s="99" t="s">
        <v>209</v>
      </c>
      <c r="BB56" s="93" t="s">
        <v>82</v>
      </c>
      <c r="BC56" s="93" t="s">
        <v>82</v>
      </c>
      <c r="BD56" s="93" t="s">
        <v>82</v>
      </c>
      <c r="BE56" s="93" t="s">
        <v>82</v>
      </c>
      <c r="BF56" s="93" t="s">
        <v>82</v>
      </c>
    </row>
    <row r="57" spans="1:58" s="117" customFormat="1" ht="15.6" x14ac:dyDescent="0.3">
      <c r="A57" s="3">
        <v>53</v>
      </c>
      <c r="B57" s="37" t="s">
        <v>143</v>
      </c>
      <c r="C57" s="95" t="s">
        <v>74</v>
      </c>
      <c r="D57" s="95" t="s">
        <v>77</v>
      </c>
      <c r="E57" s="95" t="s">
        <v>71</v>
      </c>
      <c r="F57" s="95" t="s">
        <v>79</v>
      </c>
      <c r="G57" s="95" t="s">
        <v>82</v>
      </c>
      <c r="H57" s="95" t="s">
        <v>68</v>
      </c>
      <c r="I57" s="95" t="s">
        <v>15</v>
      </c>
      <c r="J57" s="95">
        <v>2</v>
      </c>
      <c r="K57" s="110">
        <v>390000</v>
      </c>
      <c r="L57" s="106">
        <v>82000</v>
      </c>
      <c r="M57" s="110">
        <v>340000</v>
      </c>
      <c r="N57" s="106">
        <v>82000</v>
      </c>
      <c r="O57" s="106">
        <f>(FarmerOUTCOMES[[#This Row],[1- Current revenue from fruits and veg]]-FarmerOUTCOMES[[#This Row],[Current costs of production for fruits and veg]])-(FarmerOUTCOMES[[#This Row],[Previous revenue from fruit and veg]]-FarmerOUTCOMES[[#This Row],[Previous cost of production for fruits andveg]])*(1-FarmerOUTCOMES[[#This Row],[1-CF factor]])</f>
        <v>50000</v>
      </c>
      <c r="P57" s="94" t="s">
        <v>124</v>
      </c>
      <c r="Q57" s="94" t="s">
        <v>15</v>
      </c>
      <c r="R57" s="94">
        <f>VLOOKUP(FarmerOUTCOMES[[#This Row],[DI-Group/Location]], CFfarmer1[],3,FALSE)</f>
        <v>0</v>
      </c>
      <c r="S57" t="s">
        <v>205</v>
      </c>
      <c r="T57" s="86">
        <v>1</v>
      </c>
      <c r="U57" s="68">
        <v>0</v>
      </c>
      <c r="V57" s="38">
        <v>20000</v>
      </c>
      <c r="W57" s="38">
        <v>50000</v>
      </c>
      <c r="X57" s="38">
        <f>SUM(FarmerOUTCOMES[[#This Row],[Value of benefit A]:[Value of benefit C]])*(1-FarmerOUTCOMES[[#This Row],[2-CF Factor]])</f>
        <v>70000</v>
      </c>
      <c r="Y57" s="68">
        <f>VLOOKUP(FarmerOUTCOMES[[#This Row],[DI-Group/Location]],CFfarmer2[],3,FALSE)</f>
        <v>0</v>
      </c>
      <c r="Z57" s="157" t="s">
        <v>206</v>
      </c>
      <c r="AA57" s="38">
        <v>9000</v>
      </c>
      <c r="AB57" s="38">
        <v>20000</v>
      </c>
      <c r="AC57" s="38"/>
      <c r="AD57" s="87">
        <f>VLOOKUP(FarmerOUTCOMES[[#This Row],[DI-Group/Location]],CFfarmer3[],3,FALSE)</f>
        <v>0</v>
      </c>
      <c r="AE57" s="99" t="s">
        <v>207</v>
      </c>
      <c r="AF57" s="107">
        <v>0</v>
      </c>
      <c r="AG57" s="244">
        <v>5000</v>
      </c>
      <c r="AH57" s="71"/>
      <c r="AI57" s="87">
        <v>0</v>
      </c>
      <c r="AJ57" s="99" t="s">
        <v>207</v>
      </c>
      <c r="AK57" s="87">
        <v>0</v>
      </c>
      <c r="AL57" s="108">
        <v>0</v>
      </c>
      <c r="AM57" s="87">
        <v>0</v>
      </c>
      <c r="AN57" s="91" t="s">
        <v>82</v>
      </c>
      <c r="AO57" s="91"/>
      <c r="AP57" s="52">
        <v>0</v>
      </c>
      <c r="AQ57" s="99" t="s">
        <v>208</v>
      </c>
      <c r="AR57" s="249">
        <v>5000</v>
      </c>
      <c r="AS57" s="170"/>
      <c r="AT57" s="50">
        <v>0</v>
      </c>
      <c r="AU57" s="68" t="s">
        <v>82</v>
      </c>
      <c r="AV57" s="40">
        <v>0</v>
      </c>
      <c r="AW57" s="77">
        <v>0</v>
      </c>
      <c r="AX57" s="273">
        <f>IF(FarmerOUTCOMES[[#This Row],[Discretionary expenditure  ]]&lt;&gt;0,FarmerOUTCOMES[[#This Row],[Willingness to accept compensation]]/FarmerOUTCOMES[[#This Row],[Discretionary expenditure  ]],0)</f>
        <v>0</v>
      </c>
      <c r="AY57" s="77"/>
      <c r="AZ57" s="68">
        <v>0</v>
      </c>
      <c r="BA57" s="99" t="s">
        <v>209</v>
      </c>
      <c r="BB57" s="93" t="s">
        <v>82</v>
      </c>
      <c r="BC57" s="93" t="s">
        <v>82</v>
      </c>
      <c r="BD57" s="93" t="s">
        <v>82</v>
      </c>
      <c r="BE57" s="93" t="s">
        <v>82</v>
      </c>
      <c r="BF57" s="93" t="s">
        <v>82</v>
      </c>
    </row>
    <row r="58" spans="1:58" s="117" customFormat="1" ht="15.6" x14ac:dyDescent="0.3">
      <c r="A58" s="3">
        <v>54</v>
      </c>
      <c r="B58" s="37" t="s">
        <v>144</v>
      </c>
      <c r="C58" s="95" t="s">
        <v>75</v>
      </c>
      <c r="D58" s="95" t="s">
        <v>77</v>
      </c>
      <c r="E58" s="95" t="s">
        <v>71</v>
      </c>
      <c r="F58" s="95" t="s">
        <v>79</v>
      </c>
      <c r="G58" s="95" t="s">
        <v>82</v>
      </c>
      <c r="H58" s="95" t="s">
        <v>68</v>
      </c>
      <c r="I58" s="95" t="s">
        <v>15</v>
      </c>
      <c r="J58" s="95">
        <v>2</v>
      </c>
      <c r="K58" s="110">
        <v>360000</v>
      </c>
      <c r="L58" s="106">
        <v>95000</v>
      </c>
      <c r="M58" s="110">
        <v>250000</v>
      </c>
      <c r="N58" s="106">
        <v>65000</v>
      </c>
      <c r="O58" s="106">
        <f>(FarmerOUTCOMES[[#This Row],[1- Current revenue from fruits and veg]]-FarmerOUTCOMES[[#This Row],[Current costs of production for fruits and veg]])-(FarmerOUTCOMES[[#This Row],[Previous revenue from fruit and veg]]-FarmerOUTCOMES[[#This Row],[Previous cost of production for fruits andveg]])*(1-FarmerOUTCOMES[[#This Row],[1-CF factor]])</f>
        <v>80000</v>
      </c>
      <c r="P58" s="94" t="s">
        <v>124</v>
      </c>
      <c r="Q58" s="94" t="s">
        <v>15</v>
      </c>
      <c r="R58" s="94">
        <f>VLOOKUP(FarmerOUTCOMES[[#This Row],[DI-Group/Location]], CFfarmer1[],3,FALSE)</f>
        <v>0</v>
      </c>
      <c r="S58" t="s">
        <v>205</v>
      </c>
      <c r="T58" s="86">
        <v>2</v>
      </c>
      <c r="U58" s="68">
        <v>0</v>
      </c>
      <c r="V58" s="38">
        <v>12000</v>
      </c>
      <c r="W58" s="38">
        <v>45000</v>
      </c>
      <c r="X58" s="38">
        <f>SUM(FarmerOUTCOMES[[#This Row],[Value of benefit A]:[Value of benefit C]])*(1-FarmerOUTCOMES[[#This Row],[2-CF Factor]])</f>
        <v>57000</v>
      </c>
      <c r="Y58" s="68">
        <f>VLOOKUP(FarmerOUTCOMES[[#This Row],[DI-Group/Location]],CFfarmer2[],3,FALSE)</f>
        <v>0</v>
      </c>
      <c r="Z58" s="157" t="s">
        <v>206</v>
      </c>
      <c r="AA58" s="38">
        <v>8000</v>
      </c>
      <c r="AB58" s="38">
        <v>12000</v>
      </c>
      <c r="AC58" s="38"/>
      <c r="AD58" s="87">
        <f>VLOOKUP(FarmerOUTCOMES[[#This Row],[DI-Group/Location]],CFfarmer3[],3,FALSE)</f>
        <v>0</v>
      </c>
      <c r="AE58" s="99" t="s">
        <v>207</v>
      </c>
      <c r="AF58" s="107">
        <v>0</v>
      </c>
      <c r="AG58" s="245">
        <v>5000</v>
      </c>
      <c r="AH58" s="112"/>
      <c r="AI58" s="87">
        <v>0</v>
      </c>
      <c r="AJ58" s="99" t="s">
        <v>207</v>
      </c>
      <c r="AK58" s="87">
        <v>0</v>
      </c>
      <c r="AL58" s="108">
        <v>0</v>
      </c>
      <c r="AM58" s="87">
        <v>0</v>
      </c>
      <c r="AN58" s="91" t="s">
        <v>82</v>
      </c>
      <c r="AO58" s="91"/>
      <c r="AP58" s="52">
        <v>0</v>
      </c>
      <c r="AQ58" s="99" t="s">
        <v>208</v>
      </c>
      <c r="AR58" s="250">
        <v>5000</v>
      </c>
      <c r="AS58" s="171"/>
      <c r="AT58" s="50">
        <v>0</v>
      </c>
      <c r="AU58" s="68" t="s">
        <v>82</v>
      </c>
      <c r="AV58" s="87">
        <v>900000</v>
      </c>
      <c r="AW58" s="79">
        <v>75000</v>
      </c>
      <c r="AX58" s="273">
        <f>IF(FarmerOUTCOMES[[#This Row],[Discretionary expenditure  ]]&lt;&gt;0,FarmerOUTCOMES[[#This Row],[Willingness to accept compensation]]/FarmerOUTCOMES[[#This Row],[Discretionary expenditure  ]],0)</f>
        <v>8.3333333333333329E-2</v>
      </c>
      <c r="AY58" s="79"/>
      <c r="AZ58" s="68">
        <v>0</v>
      </c>
      <c r="BA58" s="99" t="s">
        <v>209</v>
      </c>
      <c r="BB58" s="93" t="s">
        <v>82</v>
      </c>
      <c r="BC58" s="93" t="s">
        <v>82</v>
      </c>
      <c r="BD58" s="93" t="s">
        <v>82</v>
      </c>
      <c r="BE58" s="93" t="s">
        <v>82</v>
      </c>
      <c r="BF58" s="93" t="s">
        <v>82</v>
      </c>
    </row>
    <row r="59" spans="1:58" s="117" customFormat="1" ht="15.6" x14ac:dyDescent="0.3">
      <c r="A59" s="3">
        <v>55</v>
      </c>
      <c r="B59" s="37" t="s">
        <v>145</v>
      </c>
      <c r="C59" s="95" t="s">
        <v>75</v>
      </c>
      <c r="D59" s="95" t="s">
        <v>76</v>
      </c>
      <c r="E59" s="95" t="s">
        <v>71</v>
      </c>
      <c r="F59" s="95" t="s">
        <v>79</v>
      </c>
      <c r="G59" s="95" t="s">
        <v>82</v>
      </c>
      <c r="H59" s="95" t="s">
        <v>68</v>
      </c>
      <c r="I59" s="95" t="s">
        <v>15</v>
      </c>
      <c r="J59" s="95">
        <v>2</v>
      </c>
      <c r="K59" s="110">
        <v>750000</v>
      </c>
      <c r="L59" s="106">
        <v>110000</v>
      </c>
      <c r="M59" s="110">
        <v>350000</v>
      </c>
      <c r="N59" s="106">
        <v>90000</v>
      </c>
      <c r="O59" s="106">
        <f>(FarmerOUTCOMES[[#This Row],[1- Current revenue from fruits and veg]]-FarmerOUTCOMES[[#This Row],[Current costs of production for fruits and veg]])-(FarmerOUTCOMES[[#This Row],[Previous revenue from fruit and veg]]-FarmerOUTCOMES[[#This Row],[Previous cost of production for fruits andveg]])*(1-FarmerOUTCOMES[[#This Row],[1-CF factor]])</f>
        <v>380000</v>
      </c>
      <c r="P59" s="94" t="s">
        <v>124</v>
      </c>
      <c r="Q59" s="94" t="s">
        <v>15</v>
      </c>
      <c r="R59" s="94">
        <f>VLOOKUP(FarmerOUTCOMES[[#This Row],[DI-Group/Location]], CFfarmer1[],3,FALSE)</f>
        <v>0</v>
      </c>
      <c r="S59" t="s">
        <v>205</v>
      </c>
      <c r="T59" s="86">
        <v>1</v>
      </c>
      <c r="U59" s="68">
        <v>0</v>
      </c>
      <c r="V59" s="38">
        <v>12000</v>
      </c>
      <c r="W59" s="38">
        <v>40000</v>
      </c>
      <c r="X59" s="38">
        <f>SUM(FarmerOUTCOMES[[#This Row],[Value of benefit A]:[Value of benefit C]])*(1-FarmerOUTCOMES[[#This Row],[2-CF Factor]])</f>
        <v>52000</v>
      </c>
      <c r="Y59" s="68">
        <f>VLOOKUP(FarmerOUTCOMES[[#This Row],[DI-Group/Location]],CFfarmer2[],3,FALSE)</f>
        <v>0</v>
      </c>
      <c r="Z59" s="157" t="s">
        <v>206</v>
      </c>
      <c r="AA59" s="38">
        <v>10000</v>
      </c>
      <c r="AB59" s="38">
        <v>12000</v>
      </c>
      <c r="AC59" s="38"/>
      <c r="AD59" s="87">
        <f>VLOOKUP(FarmerOUTCOMES[[#This Row],[DI-Group/Location]],CFfarmer3[],3,FALSE)</f>
        <v>0</v>
      </c>
      <c r="AE59" s="99" t="s">
        <v>207</v>
      </c>
      <c r="AF59" s="107">
        <v>0</v>
      </c>
      <c r="AG59" s="244">
        <v>3000</v>
      </c>
      <c r="AH59" s="71"/>
      <c r="AI59" s="87">
        <v>0</v>
      </c>
      <c r="AJ59" s="99" t="s">
        <v>207</v>
      </c>
      <c r="AK59" s="87">
        <v>0</v>
      </c>
      <c r="AL59" s="108">
        <v>0</v>
      </c>
      <c r="AM59" s="87">
        <v>0</v>
      </c>
      <c r="AN59" s="91" t="s">
        <v>82</v>
      </c>
      <c r="AO59" s="91"/>
      <c r="AP59" s="52">
        <v>0</v>
      </c>
      <c r="AQ59" s="99" t="s">
        <v>208</v>
      </c>
      <c r="AR59" s="249">
        <v>3000</v>
      </c>
      <c r="AS59" s="170"/>
      <c r="AT59" s="50">
        <v>0</v>
      </c>
      <c r="AU59" s="68" t="s">
        <v>82</v>
      </c>
      <c r="AV59" s="87">
        <v>300000</v>
      </c>
      <c r="AW59" s="255">
        <v>110000</v>
      </c>
      <c r="AX59" s="280">
        <f>IF(FarmerOUTCOMES[[#This Row],[Discretionary expenditure  ]]&lt;&gt;0,FarmerOUTCOMES[[#This Row],[Willingness to accept compensation]]/FarmerOUTCOMES[[#This Row],[Discretionary expenditure  ]],0)</f>
        <v>0.36666666666666664</v>
      </c>
      <c r="AY59" s="80"/>
      <c r="AZ59" s="68">
        <v>0</v>
      </c>
      <c r="BA59" s="99" t="s">
        <v>209</v>
      </c>
      <c r="BB59" s="93" t="s">
        <v>82</v>
      </c>
      <c r="BC59" s="93" t="s">
        <v>82</v>
      </c>
      <c r="BD59" s="93" t="s">
        <v>82</v>
      </c>
      <c r="BE59" s="93" t="s">
        <v>82</v>
      </c>
      <c r="BF59" s="93" t="s">
        <v>82</v>
      </c>
    </row>
    <row r="60" spans="1:58" s="117" customFormat="1" ht="16.2" thickBot="1" x14ac:dyDescent="0.35">
      <c r="A60" s="3">
        <v>56</v>
      </c>
      <c r="B60" s="37" t="s">
        <v>146</v>
      </c>
      <c r="C60" s="95" t="s">
        <v>74</v>
      </c>
      <c r="D60" s="95" t="s">
        <v>77</v>
      </c>
      <c r="E60" s="95" t="s">
        <v>71</v>
      </c>
      <c r="F60" s="95" t="s">
        <v>79</v>
      </c>
      <c r="G60" s="95" t="s">
        <v>82</v>
      </c>
      <c r="H60" s="95" t="s">
        <v>68</v>
      </c>
      <c r="I60" s="95" t="s">
        <v>15</v>
      </c>
      <c r="J60" s="95">
        <v>2</v>
      </c>
      <c r="K60" s="110">
        <v>1060000</v>
      </c>
      <c r="L60" s="106">
        <v>52000</v>
      </c>
      <c r="M60" s="110">
        <v>390000</v>
      </c>
      <c r="N60" s="106">
        <v>42000</v>
      </c>
      <c r="O60" s="106">
        <f>(FarmerOUTCOMES[[#This Row],[1- Current revenue from fruits and veg]]-FarmerOUTCOMES[[#This Row],[Current costs of production for fruits and veg]])-(FarmerOUTCOMES[[#This Row],[Previous revenue from fruit and veg]]-FarmerOUTCOMES[[#This Row],[Previous cost of production for fruits andveg]])*(1-FarmerOUTCOMES[[#This Row],[1-CF factor]])</f>
        <v>660000</v>
      </c>
      <c r="P60" s="94" t="s">
        <v>124</v>
      </c>
      <c r="Q60" s="94" t="s">
        <v>15</v>
      </c>
      <c r="R60" s="94">
        <f>VLOOKUP(FarmerOUTCOMES[[#This Row],[DI-Group/Location]], CFfarmer1[],3,FALSE)</f>
        <v>0</v>
      </c>
      <c r="S60" t="s">
        <v>205</v>
      </c>
      <c r="T60" s="86">
        <v>1</v>
      </c>
      <c r="U60" s="68">
        <v>0</v>
      </c>
      <c r="V60" s="38">
        <v>20000</v>
      </c>
      <c r="W60" s="38">
        <v>60000</v>
      </c>
      <c r="X60" s="38">
        <f>SUM(FarmerOUTCOMES[[#This Row],[Value of benefit A]:[Value of benefit C]])*(1-FarmerOUTCOMES[[#This Row],[2-CF Factor]])</f>
        <v>80000</v>
      </c>
      <c r="Y60" s="68">
        <f>VLOOKUP(FarmerOUTCOMES[[#This Row],[DI-Group/Location]],CFfarmer2[],3,FALSE)</f>
        <v>0</v>
      </c>
      <c r="Z60" s="157" t="s">
        <v>206</v>
      </c>
      <c r="AA60" s="38">
        <v>0</v>
      </c>
      <c r="AB60" s="38">
        <v>20000</v>
      </c>
      <c r="AC60" s="38"/>
      <c r="AD60" s="87">
        <f>VLOOKUP(FarmerOUTCOMES[[#This Row],[DI-Group/Location]],CFfarmer3[],3,FALSE)</f>
        <v>0</v>
      </c>
      <c r="AE60" s="99" t="s">
        <v>207</v>
      </c>
      <c r="AF60" s="107">
        <v>0</v>
      </c>
      <c r="AG60" s="244">
        <v>5000</v>
      </c>
      <c r="AH60" s="71"/>
      <c r="AI60" s="87">
        <v>0</v>
      </c>
      <c r="AJ60" s="99" t="s">
        <v>207</v>
      </c>
      <c r="AK60" s="87">
        <v>0</v>
      </c>
      <c r="AL60" s="108">
        <v>0</v>
      </c>
      <c r="AM60" s="87">
        <v>0</v>
      </c>
      <c r="AN60" s="91" t="s">
        <v>82</v>
      </c>
      <c r="AO60" s="91"/>
      <c r="AP60" s="52">
        <v>0</v>
      </c>
      <c r="AQ60" s="99" t="s">
        <v>208</v>
      </c>
      <c r="AR60" s="249">
        <v>5000</v>
      </c>
      <c r="AS60" s="170"/>
      <c r="AT60" s="50">
        <v>0</v>
      </c>
      <c r="AU60" s="68" t="s">
        <v>82</v>
      </c>
      <c r="AV60" s="87">
        <v>650000</v>
      </c>
      <c r="AW60" s="81">
        <v>100000</v>
      </c>
      <c r="AX60" s="277">
        <f>IF(FarmerOUTCOMES[[#This Row],[Discretionary expenditure  ]]&lt;&gt;0,FarmerOUTCOMES[[#This Row],[Willingness to accept compensation]]/FarmerOUTCOMES[[#This Row],[Discretionary expenditure  ]],0)</f>
        <v>0.15384615384615385</v>
      </c>
      <c r="AY60" s="172"/>
      <c r="AZ60" s="68">
        <v>0</v>
      </c>
      <c r="BA60" s="99" t="s">
        <v>209</v>
      </c>
      <c r="BB60" s="93" t="s">
        <v>82</v>
      </c>
      <c r="BC60" s="93" t="s">
        <v>82</v>
      </c>
      <c r="BD60" s="93" t="s">
        <v>82</v>
      </c>
      <c r="BE60" s="93" t="s">
        <v>82</v>
      </c>
      <c r="BF60" s="93" t="s">
        <v>82</v>
      </c>
    </row>
    <row r="61" spans="1:58" s="117" customFormat="1" ht="15.6" x14ac:dyDescent="0.3">
      <c r="A61" s="3">
        <v>57</v>
      </c>
      <c r="B61" s="37" t="s">
        <v>147</v>
      </c>
      <c r="C61" s="95" t="s">
        <v>74</v>
      </c>
      <c r="D61" s="95" t="s">
        <v>76</v>
      </c>
      <c r="E61" s="95" t="s">
        <v>71</v>
      </c>
      <c r="F61" s="95" t="s">
        <v>79</v>
      </c>
      <c r="G61" s="95" t="s">
        <v>82</v>
      </c>
      <c r="H61" s="95" t="s">
        <v>68</v>
      </c>
      <c r="I61" s="95" t="s">
        <v>15</v>
      </c>
      <c r="J61" s="95">
        <v>2</v>
      </c>
      <c r="K61" s="110">
        <v>399000</v>
      </c>
      <c r="L61" s="106">
        <v>259000</v>
      </c>
      <c r="M61" s="110">
        <v>225000</v>
      </c>
      <c r="N61" s="106">
        <v>338000</v>
      </c>
      <c r="O61" s="106">
        <f>(FarmerOUTCOMES[[#This Row],[1- Current revenue from fruits and veg]]-FarmerOUTCOMES[[#This Row],[Current costs of production for fruits and veg]])-(FarmerOUTCOMES[[#This Row],[Previous revenue from fruit and veg]]-FarmerOUTCOMES[[#This Row],[Previous cost of production for fruits andveg]])*(1-FarmerOUTCOMES[[#This Row],[1-CF factor]])</f>
        <v>253000</v>
      </c>
      <c r="P61" s="94" t="s">
        <v>124</v>
      </c>
      <c r="Q61" s="95" t="s">
        <v>15</v>
      </c>
      <c r="R61" s="95">
        <f>VLOOKUP(FarmerOUTCOMES[[#This Row],[DI-Group/Location]], CFfarmer1[],3,FALSE)</f>
        <v>0</v>
      </c>
      <c r="S61" t="s">
        <v>205</v>
      </c>
      <c r="T61" s="86">
        <v>1</v>
      </c>
      <c r="U61" s="68">
        <v>0</v>
      </c>
      <c r="V61" s="38">
        <v>40000</v>
      </c>
      <c r="W61" s="68">
        <v>0</v>
      </c>
      <c r="X61" s="68">
        <f>SUM(FarmerOUTCOMES[[#This Row],[Value of benefit A]:[Value of benefit C]])*(1-FarmerOUTCOMES[[#This Row],[2-CF Factor]])</f>
        <v>40000</v>
      </c>
      <c r="Y61" s="68">
        <f>VLOOKUP(FarmerOUTCOMES[[#This Row],[DI-Group/Location]],CFfarmer2[],3,FALSE)</f>
        <v>0</v>
      </c>
      <c r="Z61" s="157" t="s">
        <v>206</v>
      </c>
      <c r="AA61" s="38">
        <v>15000</v>
      </c>
      <c r="AB61" s="38">
        <v>40000</v>
      </c>
      <c r="AC61" s="38"/>
      <c r="AD61" s="87">
        <f>VLOOKUP(FarmerOUTCOMES[[#This Row],[DI-Group/Location]],CFfarmer3[],3,FALSE)</f>
        <v>0</v>
      </c>
      <c r="AE61" s="99" t="s">
        <v>207</v>
      </c>
      <c r="AF61" s="107">
        <v>0</v>
      </c>
      <c r="AG61" s="245">
        <v>2000</v>
      </c>
      <c r="AH61" s="112"/>
      <c r="AI61" s="87">
        <v>0</v>
      </c>
      <c r="AJ61" s="99" t="s">
        <v>207</v>
      </c>
      <c r="AK61" s="87">
        <v>0</v>
      </c>
      <c r="AL61" s="108">
        <v>0</v>
      </c>
      <c r="AM61" s="87">
        <v>0</v>
      </c>
      <c r="AN61" s="91" t="s">
        <v>82</v>
      </c>
      <c r="AO61" s="91"/>
      <c r="AP61" s="52">
        <v>0</v>
      </c>
      <c r="AQ61" s="99" t="s">
        <v>208</v>
      </c>
      <c r="AR61" s="250">
        <v>2000</v>
      </c>
      <c r="AS61" s="171"/>
      <c r="AT61" s="50">
        <v>0</v>
      </c>
      <c r="AU61" s="68" t="s">
        <v>82</v>
      </c>
      <c r="AV61" s="88" t="s">
        <v>82</v>
      </c>
      <c r="AW61" s="93" t="s">
        <v>82</v>
      </c>
      <c r="AX61" s="279" t="e">
        <f>IF(FarmerOUTCOMES[[#This Row],[Discretionary expenditure  ]]&lt;&gt;0,FarmerOUTCOMES[[#This Row],[Willingness to accept compensation]]/FarmerOUTCOMES[[#This Row],[Discretionary expenditure  ]],0)</f>
        <v>#VALUE!</v>
      </c>
      <c r="AY61" s="93"/>
      <c r="AZ61" s="68">
        <v>0</v>
      </c>
      <c r="BA61" s="99" t="s">
        <v>209</v>
      </c>
      <c r="BB61" s="93" t="s">
        <v>82</v>
      </c>
      <c r="BC61" s="93" t="s">
        <v>82</v>
      </c>
      <c r="BD61" s="93" t="s">
        <v>82</v>
      </c>
      <c r="BE61" s="93" t="s">
        <v>82</v>
      </c>
      <c r="BF61" s="93" t="s">
        <v>82</v>
      </c>
    </row>
    <row r="62" spans="1:58" s="117" customFormat="1" x14ac:dyDescent="0.3">
      <c r="A62" s="3">
        <v>58</v>
      </c>
      <c r="B62" s="12" t="s">
        <v>210</v>
      </c>
      <c r="C62" s="95" t="s">
        <v>75</v>
      </c>
      <c r="D62" s="95" t="s">
        <v>77</v>
      </c>
      <c r="E62" s="95" t="s">
        <v>45</v>
      </c>
      <c r="F62" s="95" t="s">
        <v>15</v>
      </c>
      <c r="G62" s="95" t="s">
        <v>80</v>
      </c>
      <c r="H62" s="95" t="s">
        <v>215</v>
      </c>
      <c r="I62" s="95" t="s">
        <v>15</v>
      </c>
      <c r="J62" s="95">
        <v>2</v>
      </c>
      <c r="K62" s="106">
        <v>190000</v>
      </c>
      <c r="L62" s="106">
        <v>7200</v>
      </c>
      <c r="M62" s="85">
        <v>0</v>
      </c>
      <c r="N62" s="85">
        <v>0</v>
      </c>
      <c r="O62" s="85">
        <f>(FarmerOUTCOMES[[#This Row],[1- Current revenue from fruits and veg]]-FarmerOUTCOMES[[#This Row],[Current costs of production for fruits and veg]])-(FarmerOUTCOMES[[#This Row],[Previous revenue from fruit and veg]]-FarmerOUTCOMES[[#This Row],[Previous cost of production for fruits andveg]])*(1-FarmerOUTCOMES[[#This Row],[1-CF factor]])</f>
        <v>182800</v>
      </c>
      <c r="P62" s="94" t="s">
        <v>15</v>
      </c>
      <c r="Q62" s="94" t="s">
        <v>15</v>
      </c>
      <c r="R62" s="94">
        <f>VLOOKUP(FarmerOUTCOMES[[#This Row],[DI-Group/Location]], CFfarmer1[],3,FALSE)</f>
        <v>0</v>
      </c>
      <c r="S62" t="s">
        <v>217</v>
      </c>
      <c r="T62" s="86">
        <v>1</v>
      </c>
      <c r="U62" s="97">
        <v>10000</v>
      </c>
      <c r="V62" s="97">
        <v>20000</v>
      </c>
      <c r="W62" s="68">
        <v>0</v>
      </c>
      <c r="X62" s="68">
        <f>SUM(FarmerOUTCOMES[[#This Row],[Value of benefit A]:[Value of benefit C]])*(1-FarmerOUTCOMES[[#This Row],[2-CF Factor]])</f>
        <v>30000</v>
      </c>
      <c r="Y62" s="68">
        <f>VLOOKUP(FarmerOUTCOMES[[#This Row],[DI-Group/Location]],CFfarmer2[],3,FALSE)</f>
        <v>0</v>
      </c>
      <c r="Z62" s="157" t="s">
        <v>218</v>
      </c>
      <c r="AA62" s="97">
        <v>20000</v>
      </c>
      <c r="AB62" s="87">
        <v>30000</v>
      </c>
      <c r="AC62" s="87"/>
      <c r="AD62" s="87">
        <f>VLOOKUP(FarmerOUTCOMES[[#This Row],[DI-Group/Location]],CFfarmer3[],3,FALSE)</f>
        <v>0</v>
      </c>
      <c r="AE62" s="68" t="s">
        <v>82</v>
      </c>
      <c r="AF62" s="107">
        <v>0</v>
      </c>
      <c r="AG62" s="150">
        <v>1000</v>
      </c>
      <c r="AH62" s="87"/>
      <c r="AI62" s="87">
        <v>0</v>
      </c>
      <c r="AJ62" s="99" t="s">
        <v>220</v>
      </c>
      <c r="AK62" s="87">
        <v>0</v>
      </c>
      <c r="AL62" s="87">
        <v>0</v>
      </c>
      <c r="AM62" s="87">
        <v>0</v>
      </c>
      <c r="AN62" s="91" t="s">
        <v>82</v>
      </c>
      <c r="AO62" s="91"/>
      <c r="AP62" s="52">
        <v>0</v>
      </c>
      <c r="AQ62" s="99" t="s">
        <v>220</v>
      </c>
      <c r="AR62" s="251">
        <v>1000</v>
      </c>
      <c r="AS62" s="97"/>
      <c r="AT62" s="50">
        <v>0</v>
      </c>
      <c r="AU62" s="99" t="s">
        <v>220</v>
      </c>
      <c r="AV62" s="87">
        <v>150000</v>
      </c>
      <c r="AW62" s="52">
        <v>50000</v>
      </c>
      <c r="AX62" s="272">
        <f>IF(FarmerOUTCOMES[[#This Row],[Discretionary expenditure  ]]&lt;&gt;0,FarmerOUTCOMES[[#This Row],[Willingness to accept compensation]]/FarmerOUTCOMES[[#This Row],[Discretionary expenditure  ]],0)</f>
        <v>0.33333333333333331</v>
      </c>
      <c r="AY62" s="52"/>
      <c r="AZ62" s="68">
        <v>0</v>
      </c>
      <c r="BA62" s="99" t="s">
        <v>221</v>
      </c>
      <c r="BB62" s="93" t="s">
        <v>82</v>
      </c>
      <c r="BC62" s="93" t="s">
        <v>82</v>
      </c>
      <c r="BD62" s="93" t="s">
        <v>82</v>
      </c>
      <c r="BE62" s="93" t="s">
        <v>82</v>
      </c>
      <c r="BF62" s="93" t="s">
        <v>82</v>
      </c>
    </row>
    <row r="63" spans="1:58" s="117" customFormat="1" x14ac:dyDescent="0.3">
      <c r="A63" s="3">
        <v>59</v>
      </c>
      <c r="B63" s="12" t="s">
        <v>211</v>
      </c>
      <c r="C63" s="95" t="s">
        <v>74</v>
      </c>
      <c r="D63" s="95" t="s">
        <v>76</v>
      </c>
      <c r="E63" s="95" t="s">
        <v>45</v>
      </c>
      <c r="F63" s="95" t="s">
        <v>15</v>
      </c>
      <c r="G63" s="95" t="s">
        <v>80</v>
      </c>
      <c r="H63" s="95" t="s">
        <v>215</v>
      </c>
      <c r="I63" s="95" t="s">
        <v>15</v>
      </c>
      <c r="J63" s="95">
        <v>2</v>
      </c>
      <c r="K63" s="106">
        <v>190000</v>
      </c>
      <c r="L63" s="106">
        <v>7200</v>
      </c>
      <c r="M63" s="85">
        <v>0</v>
      </c>
      <c r="N63" s="85">
        <v>0</v>
      </c>
      <c r="O63" s="85">
        <f>(FarmerOUTCOMES[[#This Row],[1- Current revenue from fruits and veg]]-FarmerOUTCOMES[[#This Row],[Current costs of production for fruits and veg]])-(FarmerOUTCOMES[[#This Row],[Previous revenue from fruit and veg]]-FarmerOUTCOMES[[#This Row],[Previous cost of production for fruits andveg]])*(1-FarmerOUTCOMES[[#This Row],[1-CF factor]])</f>
        <v>182800</v>
      </c>
      <c r="P63" s="94" t="s">
        <v>15</v>
      </c>
      <c r="Q63" s="94" t="s">
        <v>15</v>
      </c>
      <c r="R63" s="94">
        <f>VLOOKUP(FarmerOUTCOMES[[#This Row],[DI-Group/Location]], CFfarmer1[],3,FALSE)</f>
        <v>0</v>
      </c>
      <c r="S63" t="s">
        <v>217</v>
      </c>
      <c r="T63" s="86">
        <v>1</v>
      </c>
      <c r="U63" s="97">
        <v>8000</v>
      </c>
      <c r="V63" s="97">
        <v>30000</v>
      </c>
      <c r="W63" s="68">
        <v>0</v>
      </c>
      <c r="X63" s="68">
        <f>SUM(FarmerOUTCOMES[[#This Row],[Value of benefit A]:[Value of benefit C]])*(1-FarmerOUTCOMES[[#This Row],[2-CF Factor]])</f>
        <v>38000</v>
      </c>
      <c r="Y63" s="68">
        <f>VLOOKUP(FarmerOUTCOMES[[#This Row],[DI-Group/Location]],CFfarmer2[],3,FALSE)</f>
        <v>0</v>
      </c>
      <c r="Z63" s="157" t="s">
        <v>218</v>
      </c>
      <c r="AA63" s="97">
        <v>20000</v>
      </c>
      <c r="AB63" s="87">
        <v>40000</v>
      </c>
      <c r="AC63" s="87"/>
      <c r="AD63" s="87">
        <f>VLOOKUP(FarmerOUTCOMES[[#This Row],[DI-Group/Location]],CFfarmer3[],3,FALSE)</f>
        <v>0</v>
      </c>
      <c r="AE63" s="68" t="s">
        <v>82</v>
      </c>
      <c r="AF63" s="107">
        <v>0</v>
      </c>
      <c r="AG63" s="150">
        <v>2000</v>
      </c>
      <c r="AH63" s="87"/>
      <c r="AI63" s="87">
        <v>0</v>
      </c>
      <c r="AJ63" s="99" t="s">
        <v>220</v>
      </c>
      <c r="AK63" s="87">
        <v>0</v>
      </c>
      <c r="AL63" s="87">
        <v>0</v>
      </c>
      <c r="AM63" s="87">
        <v>0</v>
      </c>
      <c r="AN63" s="91" t="s">
        <v>82</v>
      </c>
      <c r="AO63" s="91"/>
      <c r="AP63" s="52">
        <v>0</v>
      </c>
      <c r="AQ63" s="99" t="s">
        <v>220</v>
      </c>
      <c r="AR63" s="251">
        <v>2000</v>
      </c>
      <c r="AS63" s="97"/>
      <c r="AT63" s="50">
        <v>0</v>
      </c>
      <c r="AU63" s="99" t="s">
        <v>220</v>
      </c>
      <c r="AV63" s="87">
        <v>110000</v>
      </c>
      <c r="AW63" s="248">
        <v>60000</v>
      </c>
      <c r="AX63" s="281">
        <f>IF(FarmerOUTCOMES[[#This Row],[Discretionary expenditure  ]]&lt;&gt;0,FarmerOUTCOMES[[#This Row],[Willingness to accept compensation]]/FarmerOUTCOMES[[#This Row],[Discretionary expenditure  ]],0)</f>
        <v>0.54545454545454541</v>
      </c>
      <c r="AY63" s="52"/>
      <c r="AZ63" s="68">
        <v>0</v>
      </c>
      <c r="BA63" s="99" t="s">
        <v>221</v>
      </c>
      <c r="BB63" s="93" t="s">
        <v>82</v>
      </c>
      <c r="BC63" s="93" t="s">
        <v>82</v>
      </c>
      <c r="BD63" s="93" t="s">
        <v>82</v>
      </c>
      <c r="BE63" s="93" t="s">
        <v>82</v>
      </c>
      <c r="BF63" s="93" t="s">
        <v>82</v>
      </c>
    </row>
    <row r="64" spans="1:58" s="117" customFormat="1" x14ac:dyDescent="0.3">
      <c r="A64" s="3">
        <v>60</v>
      </c>
      <c r="B64" s="12" t="s">
        <v>212</v>
      </c>
      <c r="C64" s="95" t="s">
        <v>74</v>
      </c>
      <c r="D64" s="95" t="s">
        <v>77</v>
      </c>
      <c r="E64" s="95" t="s">
        <v>45</v>
      </c>
      <c r="F64" s="95" t="s">
        <v>15</v>
      </c>
      <c r="G64" s="95" t="s">
        <v>81</v>
      </c>
      <c r="H64" s="95" t="s">
        <v>215</v>
      </c>
      <c r="I64" s="95" t="s">
        <v>15</v>
      </c>
      <c r="J64" s="95">
        <v>2</v>
      </c>
      <c r="K64" s="106">
        <v>190000</v>
      </c>
      <c r="L64" s="106">
        <v>7200</v>
      </c>
      <c r="M64" s="85">
        <v>0</v>
      </c>
      <c r="N64" s="85">
        <v>0</v>
      </c>
      <c r="O64" s="85">
        <f>(FarmerOUTCOMES[[#This Row],[1- Current revenue from fruits and veg]]-FarmerOUTCOMES[[#This Row],[Current costs of production for fruits and veg]])-(FarmerOUTCOMES[[#This Row],[Previous revenue from fruit and veg]]-FarmerOUTCOMES[[#This Row],[Previous cost of production for fruits andveg]])*(1-FarmerOUTCOMES[[#This Row],[1-CF factor]])</f>
        <v>182800</v>
      </c>
      <c r="P64" s="94" t="s">
        <v>15</v>
      </c>
      <c r="Q64" s="94" t="s">
        <v>15</v>
      </c>
      <c r="R64" s="94">
        <f>VLOOKUP(FarmerOUTCOMES[[#This Row],[DI-Group/Location]], CFfarmer1[],3,FALSE)</f>
        <v>0</v>
      </c>
      <c r="S64" t="s">
        <v>217</v>
      </c>
      <c r="T64" s="86">
        <v>1</v>
      </c>
      <c r="U64" s="97">
        <v>10000</v>
      </c>
      <c r="V64" s="97">
        <v>30000</v>
      </c>
      <c r="W64" s="68">
        <v>0</v>
      </c>
      <c r="X64" s="68">
        <f>SUM(FarmerOUTCOMES[[#This Row],[Value of benefit A]:[Value of benefit C]])*(1-FarmerOUTCOMES[[#This Row],[2-CF Factor]])</f>
        <v>40000</v>
      </c>
      <c r="Y64" s="68">
        <f>VLOOKUP(FarmerOUTCOMES[[#This Row],[DI-Group/Location]],CFfarmer2[],3,FALSE)</f>
        <v>0</v>
      </c>
      <c r="Z64" s="157" t="s">
        <v>218</v>
      </c>
      <c r="AA64" s="97">
        <v>20000</v>
      </c>
      <c r="AB64" s="87">
        <v>50000</v>
      </c>
      <c r="AC64" s="87"/>
      <c r="AD64" s="87">
        <f>VLOOKUP(FarmerOUTCOMES[[#This Row],[DI-Group/Location]],CFfarmer3[],3,FALSE)</f>
        <v>0</v>
      </c>
      <c r="AE64" s="68" t="s">
        <v>82</v>
      </c>
      <c r="AF64" s="107">
        <v>0</v>
      </c>
      <c r="AG64" s="87">
        <v>0</v>
      </c>
      <c r="AH64" s="87"/>
      <c r="AI64" s="87">
        <v>0</v>
      </c>
      <c r="AJ64" s="99" t="s">
        <v>220</v>
      </c>
      <c r="AK64" s="87">
        <v>0</v>
      </c>
      <c r="AL64" s="87">
        <v>0</v>
      </c>
      <c r="AM64" s="87">
        <v>0</v>
      </c>
      <c r="AN64" s="91" t="s">
        <v>82</v>
      </c>
      <c r="AO64" s="91"/>
      <c r="AP64" s="52">
        <v>0</v>
      </c>
      <c r="AQ64" s="99" t="s">
        <v>220</v>
      </c>
      <c r="AR64" s="97">
        <v>0</v>
      </c>
      <c r="AS64" s="97"/>
      <c r="AT64" s="50">
        <v>0</v>
      </c>
      <c r="AU64" s="99" t="s">
        <v>220</v>
      </c>
      <c r="AV64" s="87">
        <v>190000</v>
      </c>
      <c r="AW64" s="52">
        <v>80000</v>
      </c>
      <c r="AX64" s="272">
        <f>IF(FarmerOUTCOMES[[#This Row],[Discretionary expenditure  ]]&lt;&gt;0,FarmerOUTCOMES[[#This Row],[Willingness to accept compensation]]/FarmerOUTCOMES[[#This Row],[Discretionary expenditure  ]],0)</f>
        <v>0.42105263157894735</v>
      </c>
      <c r="AY64" s="52"/>
      <c r="AZ64" s="68">
        <v>0</v>
      </c>
      <c r="BA64" s="99" t="s">
        <v>221</v>
      </c>
      <c r="BB64" s="93" t="s">
        <v>82</v>
      </c>
      <c r="BC64" s="93" t="s">
        <v>82</v>
      </c>
      <c r="BD64" s="93" t="s">
        <v>82</v>
      </c>
      <c r="BE64" s="93" t="s">
        <v>82</v>
      </c>
      <c r="BF64" s="93" t="s">
        <v>82</v>
      </c>
    </row>
    <row r="65" spans="1:58" s="117" customFormat="1" x14ac:dyDescent="0.3">
      <c r="A65" s="3">
        <v>61</v>
      </c>
      <c r="B65" s="12" t="s">
        <v>213</v>
      </c>
      <c r="C65" s="95" t="s">
        <v>74</v>
      </c>
      <c r="D65" s="95" t="s">
        <v>77</v>
      </c>
      <c r="E65" s="95" t="s">
        <v>45</v>
      </c>
      <c r="F65" s="95" t="s">
        <v>15</v>
      </c>
      <c r="G65" s="95" t="s">
        <v>80</v>
      </c>
      <c r="H65" s="95" t="s">
        <v>215</v>
      </c>
      <c r="I65" s="95" t="s">
        <v>15</v>
      </c>
      <c r="J65" s="95">
        <v>2</v>
      </c>
      <c r="K65" s="106">
        <v>190000</v>
      </c>
      <c r="L65" s="106">
        <v>7200</v>
      </c>
      <c r="M65" s="85">
        <v>0</v>
      </c>
      <c r="N65" s="85">
        <v>0</v>
      </c>
      <c r="O65" s="85">
        <f>(FarmerOUTCOMES[[#This Row],[1- Current revenue from fruits and veg]]-FarmerOUTCOMES[[#This Row],[Current costs of production for fruits and veg]])-(FarmerOUTCOMES[[#This Row],[Previous revenue from fruit and veg]]-FarmerOUTCOMES[[#This Row],[Previous cost of production for fruits andveg]])*(1-FarmerOUTCOMES[[#This Row],[1-CF factor]])</f>
        <v>182800</v>
      </c>
      <c r="P65" s="94" t="s">
        <v>15</v>
      </c>
      <c r="Q65" s="94" t="s">
        <v>15</v>
      </c>
      <c r="R65" s="94">
        <f>VLOOKUP(FarmerOUTCOMES[[#This Row],[DI-Group/Location]], CFfarmer1[],3,FALSE)</f>
        <v>0</v>
      </c>
      <c r="S65" t="s">
        <v>217</v>
      </c>
      <c r="T65" s="86">
        <v>1</v>
      </c>
      <c r="U65" s="97">
        <v>15000</v>
      </c>
      <c r="V65" s="97">
        <v>25000</v>
      </c>
      <c r="W65" s="68">
        <v>0</v>
      </c>
      <c r="X65" s="68">
        <f>SUM(FarmerOUTCOMES[[#This Row],[Value of benefit A]:[Value of benefit C]])*(1-FarmerOUTCOMES[[#This Row],[2-CF Factor]])</f>
        <v>40000</v>
      </c>
      <c r="Y65" s="68">
        <f>VLOOKUP(FarmerOUTCOMES[[#This Row],[DI-Group/Location]],CFfarmer2[],3,FALSE)</f>
        <v>0</v>
      </c>
      <c r="Z65" s="157" t="s">
        <v>218</v>
      </c>
      <c r="AA65" s="97">
        <v>30000</v>
      </c>
      <c r="AB65" s="87">
        <v>40000</v>
      </c>
      <c r="AC65" s="87"/>
      <c r="AD65" s="87">
        <f>VLOOKUP(FarmerOUTCOMES[[#This Row],[DI-Group/Location]],CFfarmer3[],3,FALSE)</f>
        <v>0</v>
      </c>
      <c r="AE65" s="68" t="s">
        <v>82</v>
      </c>
      <c r="AF65" s="107">
        <v>0</v>
      </c>
      <c r="AG65" s="87">
        <v>0</v>
      </c>
      <c r="AH65" s="87"/>
      <c r="AI65" s="87">
        <v>0</v>
      </c>
      <c r="AJ65" s="99" t="s">
        <v>220</v>
      </c>
      <c r="AK65" s="87">
        <v>0</v>
      </c>
      <c r="AL65" s="87">
        <v>0</v>
      </c>
      <c r="AM65" s="87">
        <v>0</v>
      </c>
      <c r="AN65" s="91" t="s">
        <v>82</v>
      </c>
      <c r="AO65" s="91"/>
      <c r="AP65" s="52">
        <v>0</v>
      </c>
      <c r="AQ65" s="99" t="s">
        <v>220</v>
      </c>
      <c r="AR65" s="97">
        <v>0</v>
      </c>
      <c r="AS65" s="97"/>
      <c r="AT65" s="50">
        <v>0</v>
      </c>
      <c r="AU65" s="99" t="s">
        <v>220</v>
      </c>
      <c r="AV65" s="87">
        <v>172000</v>
      </c>
      <c r="AW65" s="52">
        <v>90000</v>
      </c>
      <c r="AX65" s="272">
        <f>IF(FarmerOUTCOMES[[#This Row],[Discretionary expenditure  ]]&lt;&gt;0,FarmerOUTCOMES[[#This Row],[Willingness to accept compensation]]/FarmerOUTCOMES[[#This Row],[Discretionary expenditure  ]],0)</f>
        <v>0.52325581395348841</v>
      </c>
      <c r="AY65" s="52"/>
      <c r="AZ65" s="68">
        <v>0</v>
      </c>
      <c r="BA65" s="99" t="s">
        <v>221</v>
      </c>
      <c r="BB65" s="93" t="s">
        <v>82</v>
      </c>
      <c r="BC65" s="93" t="s">
        <v>82</v>
      </c>
      <c r="BD65" s="93" t="s">
        <v>82</v>
      </c>
      <c r="BE65" s="93" t="s">
        <v>82</v>
      </c>
      <c r="BF65" s="93" t="s">
        <v>82</v>
      </c>
    </row>
    <row r="66" spans="1:58" s="117" customFormat="1" x14ac:dyDescent="0.3">
      <c r="A66" s="3">
        <v>62</v>
      </c>
      <c r="B66" s="12" t="s">
        <v>214</v>
      </c>
      <c r="C66" s="95" t="s">
        <v>75</v>
      </c>
      <c r="D66" s="95" t="s">
        <v>77</v>
      </c>
      <c r="E66" s="95" t="s">
        <v>45</v>
      </c>
      <c r="F66" s="95" t="s">
        <v>15</v>
      </c>
      <c r="G66" s="95" t="s">
        <v>80</v>
      </c>
      <c r="H66" s="95" t="s">
        <v>215</v>
      </c>
      <c r="I66" s="95" t="s">
        <v>15</v>
      </c>
      <c r="J66" s="95">
        <v>2</v>
      </c>
      <c r="K66" s="106">
        <v>400000</v>
      </c>
      <c r="L66" s="106">
        <v>12000</v>
      </c>
      <c r="M66" s="85">
        <v>0</v>
      </c>
      <c r="N66" s="85">
        <v>0</v>
      </c>
      <c r="O66" s="85">
        <f>(FarmerOUTCOMES[[#This Row],[1- Current revenue from fruits and veg]]-FarmerOUTCOMES[[#This Row],[Current costs of production for fruits and veg]])-(FarmerOUTCOMES[[#This Row],[Previous revenue from fruit and veg]]-FarmerOUTCOMES[[#This Row],[Previous cost of production for fruits andveg]])*(1-FarmerOUTCOMES[[#This Row],[1-CF factor]])</f>
        <v>388000</v>
      </c>
      <c r="P66" s="94" t="s">
        <v>15</v>
      </c>
      <c r="Q66" s="94" t="s">
        <v>15</v>
      </c>
      <c r="R66" s="94">
        <f>VLOOKUP(FarmerOUTCOMES[[#This Row],[DI-Group/Location]], CFfarmer1[],3,FALSE)</f>
        <v>0</v>
      </c>
      <c r="S66" t="s">
        <v>217</v>
      </c>
      <c r="T66" s="86">
        <v>1</v>
      </c>
      <c r="U66" s="97">
        <v>20000</v>
      </c>
      <c r="V66" s="97">
        <v>50000</v>
      </c>
      <c r="W66" s="68">
        <v>0</v>
      </c>
      <c r="X66" s="68">
        <f>SUM(FarmerOUTCOMES[[#This Row],[Value of benefit A]:[Value of benefit C]])*(1-FarmerOUTCOMES[[#This Row],[2-CF Factor]])</f>
        <v>70000</v>
      </c>
      <c r="Y66" s="68">
        <f>VLOOKUP(FarmerOUTCOMES[[#This Row],[DI-Group/Location]],CFfarmer2[],3,FALSE)</f>
        <v>0</v>
      </c>
      <c r="Z66" s="157" t="s">
        <v>218</v>
      </c>
      <c r="AA66" s="97">
        <v>20000</v>
      </c>
      <c r="AB66" s="87">
        <v>50000</v>
      </c>
      <c r="AC66" s="87"/>
      <c r="AD66" s="87">
        <f>VLOOKUP(FarmerOUTCOMES[[#This Row],[DI-Group/Location]],CFfarmer3[],3,FALSE)</f>
        <v>0</v>
      </c>
      <c r="AE66" s="68" t="s">
        <v>82</v>
      </c>
      <c r="AF66" s="107">
        <v>0</v>
      </c>
      <c r="AG66" s="150">
        <v>1000</v>
      </c>
      <c r="AH66" s="87"/>
      <c r="AI66" s="87">
        <v>0</v>
      </c>
      <c r="AJ66" s="99" t="s">
        <v>220</v>
      </c>
      <c r="AK66" s="87">
        <v>0</v>
      </c>
      <c r="AL66" s="87">
        <v>0</v>
      </c>
      <c r="AM66" s="87">
        <v>0</v>
      </c>
      <c r="AN66" s="91" t="s">
        <v>82</v>
      </c>
      <c r="AO66" s="91"/>
      <c r="AP66" s="52">
        <v>0</v>
      </c>
      <c r="AQ66" s="99" t="s">
        <v>220</v>
      </c>
      <c r="AR66" s="251">
        <v>1000</v>
      </c>
      <c r="AS66" s="97"/>
      <c r="AT66" s="50">
        <v>0</v>
      </c>
      <c r="AU66" s="99" t="s">
        <v>220</v>
      </c>
      <c r="AV66" s="87">
        <v>225000</v>
      </c>
      <c r="AW66" s="52">
        <v>80000</v>
      </c>
      <c r="AX66" s="272">
        <f>IF(FarmerOUTCOMES[[#This Row],[Discretionary expenditure  ]]&lt;&gt;0,FarmerOUTCOMES[[#This Row],[Willingness to accept compensation]]/FarmerOUTCOMES[[#This Row],[Discretionary expenditure  ]],0)</f>
        <v>0.35555555555555557</v>
      </c>
      <c r="AY66" s="52"/>
      <c r="AZ66" s="68">
        <v>0</v>
      </c>
      <c r="BA66" s="99" t="s">
        <v>221</v>
      </c>
      <c r="BB66" s="93" t="s">
        <v>82</v>
      </c>
      <c r="BC66" s="93" t="s">
        <v>82</v>
      </c>
      <c r="BD66" s="93" t="s">
        <v>82</v>
      </c>
      <c r="BE66" s="93" t="s">
        <v>82</v>
      </c>
      <c r="BF66" s="93" t="s">
        <v>82</v>
      </c>
    </row>
    <row r="67" spans="1:58" s="117" customFormat="1" x14ac:dyDescent="0.3">
      <c r="A67" s="114">
        <v>63</v>
      </c>
      <c r="B67" s="124" t="s">
        <v>216</v>
      </c>
      <c r="C67" s="125" t="s">
        <v>72</v>
      </c>
      <c r="D67" s="125" t="s">
        <v>76</v>
      </c>
      <c r="E67" s="125" t="s">
        <v>45</v>
      </c>
      <c r="F67" s="125" t="s">
        <v>15</v>
      </c>
      <c r="G67" s="125" t="s">
        <v>81</v>
      </c>
      <c r="H67" s="125" t="s">
        <v>215</v>
      </c>
      <c r="I67" s="125" t="s">
        <v>15</v>
      </c>
      <c r="J67" s="125">
        <v>2</v>
      </c>
      <c r="K67" s="126">
        <v>190000</v>
      </c>
      <c r="L67" s="126">
        <v>7200</v>
      </c>
      <c r="M67" s="127">
        <v>0</v>
      </c>
      <c r="N67" s="127">
        <v>0</v>
      </c>
      <c r="O67" s="127">
        <f>(FarmerOUTCOMES[[#This Row],[1- Current revenue from fruits and veg]]-FarmerOUTCOMES[[#This Row],[Current costs of production for fruits and veg]])-(FarmerOUTCOMES[[#This Row],[Previous revenue from fruit and veg]]-FarmerOUTCOMES[[#This Row],[Previous cost of production for fruits andveg]])*(1-FarmerOUTCOMES[[#This Row],[1-CF factor]])</f>
        <v>182800</v>
      </c>
      <c r="P67" s="128" t="s">
        <v>15</v>
      </c>
      <c r="Q67" s="128" t="s">
        <v>15</v>
      </c>
      <c r="R67" s="128">
        <f>VLOOKUP(FarmerOUTCOMES[[#This Row],[DI-Group/Location]], CFfarmer1[],3,FALSE)</f>
        <v>0</v>
      </c>
      <c r="S67" t="s">
        <v>217</v>
      </c>
      <c r="T67" s="130">
        <v>1</v>
      </c>
      <c r="U67" s="131">
        <v>20000</v>
      </c>
      <c r="V67" s="131">
        <v>40000</v>
      </c>
      <c r="W67" s="132">
        <v>0</v>
      </c>
      <c r="X67" s="132">
        <f>SUM(FarmerOUTCOMES[[#This Row],[Value of benefit A]:[Value of benefit C]])*(1-FarmerOUTCOMES[[#This Row],[2-CF Factor]])</f>
        <v>60000</v>
      </c>
      <c r="Y67" s="68">
        <f>VLOOKUP(FarmerOUTCOMES[[#This Row],[DI-Group/Location]],CFfarmer2[],3,FALSE)</f>
        <v>0</v>
      </c>
      <c r="Z67" s="158" t="s">
        <v>218</v>
      </c>
      <c r="AA67" s="131">
        <v>40000</v>
      </c>
      <c r="AB67" s="133">
        <v>50000</v>
      </c>
      <c r="AC67" s="133"/>
      <c r="AD67" s="87">
        <f>VLOOKUP(FarmerOUTCOMES[[#This Row],[DI-Group/Location]],CFfarmer3[],3,FALSE)</f>
        <v>0</v>
      </c>
      <c r="AE67" s="132" t="s">
        <v>82</v>
      </c>
      <c r="AF67" s="134">
        <v>0</v>
      </c>
      <c r="AG67" s="246">
        <v>1000</v>
      </c>
      <c r="AH67" s="133"/>
      <c r="AI67" s="87">
        <v>0</v>
      </c>
      <c r="AJ67" s="129" t="s">
        <v>220</v>
      </c>
      <c r="AK67" s="133">
        <v>0</v>
      </c>
      <c r="AL67" s="133">
        <v>0</v>
      </c>
      <c r="AM67" s="133">
        <v>0</v>
      </c>
      <c r="AN67" s="135" t="s">
        <v>82</v>
      </c>
      <c r="AO67" s="135"/>
      <c r="AP67" s="52">
        <v>0</v>
      </c>
      <c r="AQ67" s="129" t="s">
        <v>220</v>
      </c>
      <c r="AR67" s="252">
        <v>1000</v>
      </c>
      <c r="AS67" s="131"/>
      <c r="AT67" s="50">
        <v>0</v>
      </c>
      <c r="AU67" s="129" t="s">
        <v>220</v>
      </c>
      <c r="AV67" s="133">
        <v>220000</v>
      </c>
      <c r="AW67" s="256">
        <v>80000</v>
      </c>
      <c r="AX67" s="282">
        <f>IF(FarmerOUTCOMES[[#This Row],[Discretionary expenditure  ]]&lt;&gt;0,FarmerOUTCOMES[[#This Row],[Willingness to accept compensation]]/FarmerOUTCOMES[[#This Row],[Discretionary expenditure  ]],0)</f>
        <v>0.36363636363636365</v>
      </c>
      <c r="AY67" s="136"/>
      <c r="AZ67" s="68">
        <v>0</v>
      </c>
      <c r="BA67" s="129" t="s">
        <v>221</v>
      </c>
      <c r="BB67" s="137" t="s">
        <v>82</v>
      </c>
      <c r="BC67" s="137" t="s">
        <v>82</v>
      </c>
      <c r="BD67" s="137" t="s">
        <v>82</v>
      </c>
      <c r="BE67" s="137" t="s">
        <v>82</v>
      </c>
      <c r="BF67" s="137" t="s">
        <v>82</v>
      </c>
    </row>
    <row r="69" spans="1:58" ht="43.5" customHeight="1" x14ac:dyDescent="0.3">
      <c r="X69" s="177"/>
    </row>
    <row r="74" spans="1:58" x14ac:dyDescent="0.3">
      <c r="K74" s="257"/>
    </row>
  </sheetData>
  <mergeCells count="9">
    <mergeCell ref="AR3:AU3"/>
    <mergeCell ref="AV3:BA3"/>
    <mergeCell ref="BB3:BF3"/>
    <mergeCell ref="B3:J3"/>
    <mergeCell ref="K3:S3"/>
    <mergeCell ref="T3:Z3"/>
    <mergeCell ref="AA3:AE3"/>
    <mergeCell ref="AF3:AJ3"/>
    <mergeCell ref="AK3:AQ3"/>
  </mergeCells>
  <dataValidations count="11">
    <dataValidation type="list" allowBlank="1" showInputMessage="1" showErrorMessage="1" sqref="H5:H141">
      <formula1>NEWNAMES</formula1>
    </dataValidation>
    <dataValidation type="list" allowBlank="1" showInputMessage="1" showErrorMessage="1" sqref="T13:T109">
      <formula1>Group_rating</formula1>
    </dataValidation>
    <dataValidation type="list" allowBlank="1" showInputMessage="1" showErrorMessage="1" sqref="J13:J109">
      <formula1>Phase</formula1>
    </dataValidation>
    <dataValidation type="list" allowBlank="1" showInputMessage="1" showErrorMessage="1" sqref="I13:I109">
      <formula1>WEDTF</formula1>
    </dataValidation>
    <dataValidation type="list" allowBlank="1" showInputMessage="1" showErrorMessage="1" sqref="G13:G109">
      <formula1>Disability</formula1>
    </dataValidation>
    <dataValidation type="list" allowBlank="1" showInputMessage="1" showErrorMessage="1" sqref="F13:F109">
      <formula1>New_member</formula1>
    </dataValidation>
    <dataValidation type="list" allowBlank="1" showInputMessage="1" showErrorMessage="1" sqref="E5:E109">
      <formula1>Membership</formula1>
    </dataValidation>
    <dataValidation type="list" allowBlank="1" showInputMessage="1" showErrorMessage="1" sqref="D5:D109">
      <formula1>Gender</formula1>
    </dataValidation>
    <dataValidation type="list" allowBlank="1" showInputMessage="1" showErrorMessage="1" sqref="C13:C109">
      <formula1>Age</formula1>
    </dataValidation>
    <dataValidation type="list" allowBlank="1" showInputMessage="1" showErrorMessage="1" sqref="Q68:R109 Q13:R62">
      <formula1>Income_loss</formula1>
    </dataValidation>
    <dataValidation type="list" allowBlank="1" showInputMessage="1" showErrorMessage="1" sqref="Q63:R67 P13:P109">
      <formula1>Time</formula1>
    </dataValidation>
  </dataValidations>
  <hyperlinks>
    <hyperlink ref="K2" location="MODEL!A1" display="MODEL"/>
    <hyperlink ref="L2:BF2" location="MODEL!A1" display="MODEL"/>
  </hyperlinks>
  <pageMargins left="0.7" right="0.7" top="0.75" bottom="0.75" header="0.3" footer="0.3"/>
  <pageSetup paperSize="9" orientation="portrait" r:id="rId1"/>
  <legacyDrawing r:id="rId2"/>
  <tableParts count="1">
    <tablePart r:id="rId3"/>
  </tableParts>
  <extLst>
    <ext xmlns:x14="http://schemas.microsoft.com/office/spreadsheetml/2009/9/main" uri="{05C60535-1F16-4fd2-B633-F4F36F0B64E0}">
      <x14:sparklineGroups xmlns:xm="http://schemas.microsoft.com/office/excel/2006/main">
        <x14:sparklineGroup type="column" displayEmptyCellsAs="gap" high="1" low="1" displayXAxis="1">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'FARMER  '!AX5:AX66</xm:f>
              <xm:sqref>AX69</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D2:M49"/>
  <sheetViews>
    <sheetView topLeftCell="B22" workbookViewId="0">
      <selection activeCell="K23" sqref="K23"/>
    </sheetView>
  </sheetViews>
  <sheetFormatPr defaultRowHeight="14.4" x14ac:dyDescent="0.3"/>
  <cols>
    <col min="4" max="4" width="12.44140625" customWidth="1"/>
    <col min="5" max="5" width="17.109375" customWidth="1"/>
    <col min="6" max="6" width="19.5546875" style="117" customWidth="1"/>
    <col min="7" max="7" width="19.33203125" customWidth="1"/>
    <col min="10" max="10" width="11.44140625" bestFit="1" customWidth="1"/>
    <col min="11" max="11" width="14.44140625" customWidth="1"/>
    <col min="12" max="12" width="15.88671875" bestFit="1" customWidth="1"/>
    <col min="13" max="13" width="13.5546875" bestFit="1" customWidth="1"/>
  </cols>
  <sheetData>
    <row r="2" spans="4:13" x14ac:dyDescent="0.3">
      <c r="D2" s="197" t="s">
        <v>269</v>
      </c>
      <c r="E2" s="197" t="s">
        <v>270</v>
      </c>
      <c r="F2" s="197" t="s">
        <v>273</v>
      </c>
      <c r="G2" s="197" t="s">
        <v>47</v>
      </c>
      <c r="J2" t="s">
        <v>353</v>
      </c>
      <c r="K2" t="s">
        <v>280</v>
      </c>
      <c r="L2" t="s">
        <v>344</v>
      </c>
      <c r="M2" t="s">
        <v>343</v>
      </c>
    </row>
    <row r="3" spans="4:13" x14ac:dyDescent="0.3">
      <c r="D3" s="174" t="s">
        <v>77</v>
      </c>
      <c r="E3" s="174" t="s">
        <v>71</v>
      </c>
      <c r="F3" s="175" t="s">
        <v>163</v>
      </c>
      <c r="G3" s="262">
        <v>100000</v>
      </c>
      <c r="J3" t="s">
        <v>71</v>
      </c>
      <c r="K3" t="s">
        <v>341</v>
      </c>
      <c r="L3" t="s">
        <v>342</v>
      </c>
      <c r="M3" s="119">
        <v>372500</v>
      </c>
    </row>
    <row r="4" spans="4:13" x14ac:dyDescent="0.3">
      <c r="D4" s="176" t="s">
        <v>76</v>
      </c>
      <c r="E4" s="176" t="s">
        <v>71</v>
      </c>
      <c r="F4" s="98" t="s">
        <v>163</v>
      </c>
      <c r="G4" s="54">
        <v>400000</v>
      </c>
      <c r="J4" t="s">
        <v>71</v>
      </c>
      <c r="K4" t="s">
        <v>351</v>
      </c>
      <c r="L4" t="s">
        <v>352</v>
      </c>
      <c r="M4">
        <v>3429</v>
      </c>
    </row>
    <row r="5" spans="4:13" x14ac:dyDescent="0.3">
      <c r="D5" s="174" t="s">
        <v>76</v>
      </c>
      <c r="E5" s="174" t="s">
        <v>71</v>
      </c>
      <c r="F5" s="175" t="s">
        <v>163</v>
      </c>
      <c r="G5" s="262">
        <v>400000</v>
      </c>
      <c r="J5" t="s">
        <v>71</v>
      </c>
      <c r="K5" t="s">
        <v>345</v>
      </c>
      <c r="L5" t="s">
        <v>346</v>
      </c>
      <c r="M5">
        <v>7000</v>
      </c>
    </row>
    <row r="6" spans="4:13" x14ac:dyDescent="0.3">
      <c r="D6" s="176" t="s">
        <v>76</v>
      </c>
      <c r="E6" s="176" t="s">
        <v>71</v>
      </c>
      <c r="F6" s="98" t="s">
        <v>163</v>
      </c>
      <c r="G6" s="54">
        <v>480000</v>
      </c>
      <c r="J6" t="s">
        <v>71</v>
      </c>
      <c r="K6" t="s">
        <v>347</v>
      </c>
      <c r="L6" t="s">
        <v>348</v>
      </c>
      <c r="M6">
        <v>1786</v>
      </c>
    </row>
    <row r="7" spans="4:13" x14ac:dyDescent="0.3">
      <c r="D7" s="174" t="s">
        <v>76</v>
      </c>
      <c r="E7" s="174" t="s">
        <v>71</v>
      </c>
      <c r="F7" s="175" t="s">
        <v>163</v>
      </c>
      <c r="G7" s="262">
        <v>300000</v>
      </c>
      <c r="J7" t="s">
        <v>45</v>
      </c>
      <c r="K7" t="s">
        <v>349</v>
      </c>
      <c r="L7" t="s">
        <v>350</v>
      </c>
      <c r="M7" s="119">
        <v>13833</v>
      </c>
    </row>
    <row r="8" spans="4:13" x14ac:dyDescent="0.3">
      <c r="D8" s="176" t="s">
        <v>76</v>
      </c>
      <c r="E8" s="176" t="s">
        <v>71</v>
      </c>
      <c r="F8" s="98" t="s">
        <v>163</v>
      </c>
      <c r="G8" s="54">
        <v>400000</v>
      </c>
    </row>
    <row r="9" spans="4:13" x14ac:dyDescent="0.3">
      <c r="D9" s="174" t="s">
        <v>76</v>
      </c>
      <c r="E9" s="174" t="s">
        <v>71</v>
      </c>
      <c r="F9" s="175" t="s">
        <v>163</v>
      </c>
      <c r="G9" s="174">
        <v>450000</v>
      </c>
    </row>
    <row r="10" spans="4:13" x14ac:dyDescent="0.3">
      <c r="D10" s="176" t="s">
        <v>77</v>
      </c>
      <c r="E10" s="176" t="s">
        <v>71</v>
      </c>
      <c r="F10" s="98" t="s">
        <v>163</v>
      </c>
      <c r="G10" s="54">
        <v>450000</v>
      </c>
    </row>
    <row r="11" spans="4:13" x14ac:dyDescent="0.3">
      <c r="D11" s="174" t="s">
        <v>76</v>
      </c>
      <c r="E11" s="174" t="s">
        <v>71</v>
      </c>
      <c r="F11" s="174" t="s">
        <v>177</v>
      </c>
      <c r="G11" s="262">
        <v>0</v>
      </c>
    </row>
    <row r="12" spans="4:13" x14ac:dyDescent="0.3">
      <c r="D12" s="176" t="s">
        <v>76</v>
      </c>
      <c r="E12" s="176" t="s">
        <v>71</v>
      </c>
      <c r="F12" s="176" t="s">
        <v>177</v>
      </c>
      <c r="G12" s="54">
        <v>36000</v>
      </c>
    </row>
    <row r="13" spans="4:13" x14ac:dyDescent="0.3">
      <c r="D13" s="174" t="s">
        <v>77</v>
      </c>
      <c r="E13" s="174" t="s">
        <v>71</v>
      </c>
      <c r="F13" s="174" t="s">
        <v>177</v>
      </c>
      <c r="G13" s="262">
        <v>0</v>
      </c>
    </row>
    <row r="14" spans="4:13" x14ac:dyDescent="0.3">
      <c r="D14" s="176" t="s">
        <v>76</v>
      </c>
      <c r="E14" s="176" t="s">
        <v>71</v>
      </c>
      <c r="F14" s="176" t="s">
        <v>177</v>
      </c>
      <c r="G14" s="54">
        <v>0</v>
      </c>
    </row>
    <row r="15" spans="4:13" x14ac:dyDescent="0.3">
      <c r="D15" s="174" t="s">
        <v>77</v>
      </c>
      <c r="E15" s="174" t="s">
        <v>71</v>
      </c>
      <c r="F15" s="174" t="s">
        <v>177</v>
      </c>
      <c r="G15" s="262">
        <v>0</v>
      </c>
    </row>
    <row r="16" spans="4:13" x14ac:dyDescent="0.3">
      <c r="D16" s="176" t="s">
        <v>77</v>
      </c>
      <c r="E16" s="176" t="s">
        <v>71</v>
      </c>
      <c r="F16" s="176" t="s">
        <v>177</v>
      </c>
      <c r="G16" s="54">
        <v>0</v>
      </c>
    </row>
    <row r="17" spans="4:7" x14ac:dyDescent="0.3">
      <c r="D17" s="174" t="s">
        <v>77</v>
      </c>
      <c r="E17" s="174" t="s">
        <v>71</v>
      </c>
      <c r="F17" s="174" t="s">
        <v>177</v>
      </c>
      <c r="G17" s="262">
        <v>0</v>
      </c>
    </row>
    <row r="18" spans="4:7" x14ac:dyDescent="0.3">
      <c r="D18" s="176" t="s">
        <v>76</v>
      </c>
      <c r="E18" s="176" t="s">
        <v>71</v>
      </c>
      <c r="F18" s="176" t="s">
        <v>177</v>
      </c>
      <c r="G18" s="54">
        <v>0</v>
      </c>
    </row>
    <row r="19" spans="4:7" x14ac:dyDescent="0.3">
      <c r="D19" s="174" t="s">
        <v>77</v>
      </c>
      <c r="E19" s="174" t="s">
        <v>71</v>
      </c>
      <c r="F19" s="174" t="s">
        <v>177</v>
      </c>
      <c r="G19" s="262">
        <v>12000</v>
      </c>
    </row>
    <row r="20" spans="4:7" x14ac:dyDescent="0.3">
      <c r="D20" s="176" t="s">
        <v>77</v>
      </c>
      <c r="E20" s="176" t="s">
        <v>71</v>
      </c>
      <c r="F20" s="176" t="s">
        <v>177</v>
      </c>
      <c r="G20" s="54">
        <v>0</v>
      </c>
    </row>
    <row r="21" spans="4:7" x14ac:dyDescent="0.3">
      <c r="D21" s="174" t="s">
        <v>77</v>
      </c>
      <c r="E21" s="174" t="s">
        <v>71</v>
      </c>
      <c r="F21" s="174" t="s">
        <v>177</v>
      </c>
      <c r="G21" s="262">
        <v>0</v>
      </c>
    </row>
    <row r="22" spans="4:7" x14ac:dyDescent="0.3">
      <c r="D22" s="176" t="s">
        <v>77</v>
      </c>
      <c r="E22" s="176" t="s">
        <v>71</v>
      </c>
      <c r="F22" s="176" t="s">
        <v>177</v>
      </c>
      <c r="G22" s="54">
        <v>0</v>
      </c>
    </row>
    <row r="23" spans="4:7" x14ac:dyDescent="0.3">
      <c r="D23" s="174" t="s">
        <v>76</v>
      </c>
      <c r="E23" s="174" t="s">
        <v>71</v>
      </c>
      <c r="F23" s="174" t="s">
        <v>177</v>
      </c>
      <c r="G23" s="262">
        <v>0</v>
      </c>
    </row>
    <row r="24" spans="4:7" x14ac:dyDescent="0.3">
      <c r="D24" s="176" t="s">
        <v>77</v>
      </c>
      <c r="E24" s="176" t="s">
        <v>71</v>
      </c>
      <c r="F24" s="176" t="s">
        <v>177</v>
      </c>
      <c r="G24" s="54">
        <v>0</v>
      </c>
    </row>
    <row r="25" spans="4:7" x14ac:dyDescent="0.3">
      <c r="D25" s="174" t="s">
        <v>76</v>
      </c>
      <c r="E25" s="174" t="s">
        <v>71</v>
      </c>
      <c r="F25" s="174" t="s">
        <v>67</v>
      </c>
      <c r="G25" s="178">
        <v>10000</v>
      </c>
    </row>
    <row r="26" spans="4:7" x14ac:dyDescent="0.3">
      <c r="D26" s="176" t="s">
        <v>77</v>
      </c>
      <c r="E26" s="176" t="s">
        <v>71</v>
      </c>
      <c r="F26" s="176" t="s">
        <v>67</v>
      </c>
      <c r="G26" s="59">
        <v>10000</v>
      </c>
    </row>
    <row r="27" spans="4:7" x14ac:dyDescent="0.3">
      <c r="D27" s="174" t="s">
        <v>77</v>
      </c>
      <c r="E27" s="174" t="s">
        <v>71</v>
      </c>
      <c r="F27" s="174" t="s">
        <v>67</v>
      </c>
      <c r="G27" s="178">
        <v>10000</v>
      </c>
    </row>
    <row r="28" spans="4:7" x14ac:dyDescent="0.3">
      <c r="D28" s="176" t="s">
        <v>77</v>
      </c>
      <c r="E28" s="176" t="s">
        <v>71</v>
      </c>
      <c r="F28" s="176" t="s">
        <v>67</v>
      </c>
      <c r="G28" s="59">
        <v>5000</v>
      </c>
    </row>
    <row r="29" spans="4:7" x14ac:dyDescent="0.3">
      <c r="D29" s="174" t="s">
        <v>77</v>
      </c>
      <c r="E29" s="174" t="s">
        <v>71</v>
      </c>
      <c r="F29" s="174" t="s">
        <v>67</v>
      </c>
      <c r="G29" s="174">
        <v>0</v>
      </c>
    </row>
    <row r="30" spans="4:7" x14ac:dyDescent="0.3">
      <c r="D30" s="176" t="s">
        <v>77</v>
      </c>
      <c r="E30" s="176" t="s">
        <v>71</v>
      </c>
      <c r="F30" s="176" t="s">
        <v>68</v>
      </c>
      <c r="G30" s="54">
        <v>25000</v>
      </c>
    </row>
    <row r="31" spans="4:7" x14ac:dyDescent="0.3">
      <c r="D31" s="174" t="s">
        <v>76</v>
      </c>
      <c r="E31" s="174" t="s">
        <v>71</v>
      </c>
      <c r="F31" s="174" t="s">
        <v>68</v>
      </c>
      <c r="G31" s="174">
        <v>0</v>
      </c>
    </row>
    <row r="32" spans="4:7" x14ac:dyDescent="0.3">
      <c r="D32" s="176" t="s">
        <v>76</v>
      </c>
      <c r="E32" s="176" t="s">
        <v>71</v>
      </c>
      <c r="F32" s="176" t="s">
        <v>68</v>
      </c>
      <c r="G32" s="176">
        <v>0</v>
      </c>
    </row>
    <row r="33" spans="4:7" x14ac:dyDescent="0.3">
      <c r="D33" s="174" t="s">
        <v>76</v>
      </c>
      <c r="E33" s="174" t="s">
        <v>71</v>
      </c>
      <c r="F33" s="174" t="s">
        <v>68</v>
      </c>
      <c r="G33" s="174">
        <v>0</v>
      </c>
    </row>
    <row r="34" spans="4:7" x14ac:dyDescent="0.3">
      <c r="D34" s="176" t="s">
        <v>76</v>
      </c>
      <c r="E34" s="176" t="s">
        <v>71</v>
      </c>
      <c r="F34" s="176" t="s">
        <v>68</v>
      </c>
      <c r="G34" s="176">
        <v>0</v>
      </c>
    </row>
    <row r="35" spans="4:7" x14ac:dyDescent="0.3">
      <c r="D35" s="174" t="s">
        <v>77</v>
      </c>
      <c r="E35" s="174" t="s">
        <v>71</v>
      </c>
      <c r="F35" s="174" t="s">
        <v>68</v>
      </c>
      <c r="G35" s="174">
        <v>0</v>
      </c>
    </row>
    <row r="36" spans="4:7" x14ac:dyDescent="0.3">
      <c r="D36" s="176" t="s">
        <v>77</v>
      </c>
      <c r="E36" s="176" t="s">
        <v>71</v>
      </c>
      <c r="F36" s="176" t="s">
        <v>68</v>
      </c>
      <c r="G36" s="176">
        <v>0</v>
      </c>
    </row>
    <row r="37" spans="4:7" x14ac:dyDescent="0.3">
      <c r="D37" s="174" t="s">
        <v>77</v>
      </c>
      <c r="E37" s="174" t="s">
        <v>71</v>
      </c>
      <c r="F37" s="174" t="s">
        <v>68</v>
      </c>
      <c r="G37" s="174">
        <v>0</v>
      </c>
    </row>
    <row r="38" spans="4:7" x14ac:dyDescent="0.3">
      <c r="D38" s="176" t="s">
        <v>77</v>
      </c>
      <c r="E38" s="176" t="s">
        <v>71</v>
      </c>
      <c r="F38" s="176" t="s">
        <v>68</v>
      </c>
      <c r="G38" s="176">
        <v>0</v>
      </c>
    </row>
    <row r="39" spans="4:7" x14ac:dyDescent="0.3">
      <c r="D39" s="174" t="s">
        <v>77</v>
      </c>
      <c r="E39" s="174" t="s">
        <v>71</v>
      </c>
      <c r="F39" s="174" t="s">
        <v>68</v>
      </c>
      <c r="G39" s="174">
        <v>0</v>
      </c>
    </row>
    <row r="40" spans="4:7" x14ac:dyDescent="0.3">
      <c r="D40" s="176" t="s">
        <v>77</v>
      </c>
      <c r="E40" s="176" t="s">
        <v>71</v>
      </c>
      <c r="F40" s="176" t="s">
        <v>68</v>
      </c>
      <c r="G40" s="176">
        <v>0</v>
      </c>
    </row>
    <row r="41" spans="4:7" x14ac:dyDescent="0.3">
      <c r="D41" s="174" t="s">
        <v>76</v>
      </c>
      <c r="E41" s="174" t="s">
        <v>71</v>
      </c>
      <c r="F41" s="174" t="s">
        <v>68</v>
      </c>
      <c r="G41" s="174">
        <v>0</v>
      </c>
    </row>
    <row r="42" spans="4:7" x14ac:dyDescent="0.3">
      <c r="D42" s="176" t="s">
        <v>77</v>
      </c>
      <c r="E42" s="176" t="s">
        <v>71</v>
      </c>
      <c r="F42" s="176" t="s">
        <v>68</v>
      </c>
      <c r="G42" s="176">
        <v>0</v>
      </c>
    </row>
    <row r="43" spans="4:7" x14ac:dyDescent="0.3">
      <c r="D43" s="174" t="s">
        <v>76</v>
      </c>
      <c r="E43" s="174" t="s">
        <v>71</v>
      </c>
      <c r="F43" s="174" t="s">
        <v>68</v>
      </c>
      <c r="G43" s="174">
        <v>0</v>
      </c>
    </row>
    <row r="44" spans="4:7" x14ac:dyDescent="0.3">
      <c r="D44" s="176" t="s">
        <v>77</v>
      </c>
      <c r="E44" s="176" t="s">
        <v>45</v>
      </c>
      <c r="F44" s="176" t="s">
        <v>215</v>
      </c>
      <c r="G44" s="263">
        <v>10000</v>
      </c>
    </row>
    <row r="45" spans="4:7" x14ac:dyDescent="0.3">
      <c r="D45" s="174" t="s">
        <v>76</v>
      </c>
      <c r="E45" s="174" t="s">
        <v>45</v>
      </c>
      <c r="F45" s="174" t="s">
        <v>215</v>
      </c>
      <c r="G45" s="264">
        <v>8000</v>
      </c>
    </row>
    <row r="46" spans="4:7" x14ac:dyDescent="0.3">
      <c r="D46" s="176" t="s">
        <v>77</v>
      </c>
      <c r="E46" s="176" t="s">
        <v>45</v>
      </c>
      <c r="F46" s="176" t="s">
        <v>215</v>
      </c>
      <c r="G46" s="263">
        <v>10000</v>
      </c>
    </row>
    <row r="47" spans="4:7" x14ac:dyDescent="0.3">
      <c r="D47" s="174" t="s">
        <v>77</v>
      </c>
      <c r="E47" s="174" t="s">
        <v>45</v>
      </c>
      <c r="F47" s="174" t="s">
        <v>215</v>
      </c>
      <c r="G47" s="264">
        <v>15000</v>
      </c>
    </row>
    <row r="48" spans="4:7" x14ac:dyDescent="0.3">
      <c r="D48" s="176" t="s">
        <v>77</v>
      </c>
      <c r="E48" s="176" t="s">
        <v>45</v>
      </c>
      <c r="F48" s="176" t="s">
        <v>215</v>
      </c>
      <c r="G48" s="263">
        <v>20000</v>
      </c>
    </row>
    <row r="49" spans="4:7" x14ac:dyDescent="0.3">
      <c r="D49" s="199" t="s">
        <v>76</v>
      </c>
      <c r="E49" s="199" t="s">
        <v>45</v>
      </c>
      <c r="F49" s="199" t="s">
        <v>215</v>
      </c>
      <c r="G49" s="270">
        <v>20000</v>
      </c>
    </row>
  </sheetData>
  <dataValidations count="3">
    <dataValidation type="list" allowBlank="1" showInputMessage="1" showErrorMessage="1" sqref="D3:D49">
      <formula1>Gender</formula1>
    </dataValidation>
    <dataValidation type="list" allowBlank="1" showInputMessage="1" showErrorMessage="1" sqref="E3:E49">
      <formula1>Membership</formula1>
    </dataValidation>
    <dataValidation type="list" allowBlank="1" showInputMessage="1" showErrorMessage="1" sqref="F3:F49">
      <formula1>NEWNAMES</formula1>
    </dataValidation>
  </dataValidations>
  <pageMargins left="0.7" right="0.7" top="0.75" bottom="0.75" header="0.3" footer="0.3"/>
  <legacyDrawing r:id="rId1"/>
  <tableParts count="1">
    <tablePart r:id="rId2"/>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C00000"/>
  </sheetPr>
  <dimension ref="A1:E410"/>
  <sheetViews>
    <sheetView topLeftCell="B29" workbookViewId="0">
      <selection activeCell="C389" sqref="C389"/>
    </sheetView>
  </sheetViews>
  <sheetFormatPr defaultColWidth="9.109375" defaultRowHeight="14.4" x14ac:dyDescent="0.3"/>
  <cols>
    <col min="1" max="1" width="29.5546875" style="122" customWidth="1"/>
    <col min="2" max="2" width="22.6640625" style="122" customWidth="1"/>
    <col min="3" max="3" width="70" style="122" customWidth="1"/>
    <col min="4" max="4" width="16.6640625" style="218" customWidth="1"/>
    <col min="5" max="5" width="41.88671875" style="122" customWidth="1"/>
    <col min="6" max="9" width="9.109375" style="122"/>
    <col min="10" max="10" width="9.109375" style="122" customWidth="1"/>
    <col min="11" max="16384" width="9.109375" style="122"/>
  </cols>
  <sheetData>
    <row r="1" spans="1:5" x14ac:dyDescent="0.3">
      <c r="A1" s="237" t="s">
        <v>321</v>
      </c>
    </row>
    <row r="2" spans="1:5" x14ac:dyDescent="0.3">
      <c r="A2" s="237"/>
    </row>
    <row r="3" spans="1:5" x14ac:dyDescent="0.3">
      <c r="A3" s="237"/>
    </row>
    <row r="4" spans="1:5" x14ac:dyDescent="0.3">
      <c r="A4" s="123" t="s">
        <v>325</v>
      </c>
    </row>
    <row r="5" spans="1:5" x14ac:dyDescent="0.3">
      <c r="A5" s="122" t="s">
        <v>322</v>
      </c>
    </row>
    <row r="6" spans="1:5" x14ac:dyDescent="0.3">
      <c r="A6" s="122" t="s">
        <v>323</v>
      </c>
    </row>
    <row r="7" spans="1:5" x14ac:dyDescent="0.3">
      <c r="A7" s="122" t="s">
        <v>324</v>
      </c>
    </row>
    <row r="9" spans="1:5" x14ac:dyDescent="0.3">
      <c r="A9" s="123" t="s">
        <v>311</v>
      </c>
    </row>
    <row r="10" spans="1:5" x14ac:dyDescent="0.3">
      <c r="A10" s="198" t="s">
        <v>313</v>
      </c>
      <c r="B10" s="159" t="s">
        <v>273</v>
      </c>
      <c r="C10" s="160" t="s">
        <v>261</v>
      </c>
      <c r="D10" s="218" t="s">
        <v>296</v>
      </c>
      <c r="E10" s="122" t="s">
        <v>295</v>
      </c>
    </row>
    <row r="11" spans="1:5" ht="93" customHeight="1" x14ac:dyDescent="0.3">
      <c r="B11" s="201" t="s">
        <v>163</v>
      </c>
      <c r="C11" s="161" t="s">
        <v>181</v>
      </c>
      <c r="D11" s="219">
        <v>0</v>
      </c>
      <c r="E11" s="173" t="s">
        <v>310</v>
      </c>
    </row>
    <row r="12" spans="1:5" ht="37.5" customHeight="1" x14ac:dyDescent="0.3">
      <c r="A12" s="163"/>
      <c r="B12" s="202" t="s">
        <v>177</v>
      </c>
      <c r="C12" s="161" t="s">
        <v>281</v>
      </c>
      <c r="D12" s="219">
        <v>0</v>
      </c>
      <c r="E12" s="260" t="s">
        <v>338</v>
      </c>
    </row>
    <row r="13" spans="1:5" ht="78" customHeight="1" x14ac:dyDescent="0.3">
      <c r="A13" s="163" t="s">
        <v>294</v>
      </c>
      <c r="B13" s="203" t="s">
        <v>177</v>
      </c>
      <c r="C13" s="162" t="s">
        <v>189</v>
      </c>
      <c r="D13" s="219">
        <v>0</v>
      </c>
      <c r="E13" s="173" t="s">
        <v>308</v>
      </c>
    </row>
    <row r="14" spans="1:5" ht="104.25" customHeight="1" x14ac:dyDescent="0.3">
      <c r="B14" s="203" t="s">
        <v>67</v>
      </c>
      <c r="C14" s="162" t="s">
        <v>195</v>
      </c>
      <c r="D14" s="219">
        <v>0</v>
      </c>
      <c r="E14" s="173" t="s">
        <v>309</v>
      </c>
    </row>
    <row r="15" spans="1:5" ht="63" customHeight="1" x14ac:dyDescent="0.3">
      <c r="B15" s="202" t="s">
        <v>175</v>
      </c>
      <c r="C15" s="161" t="s">
        <v>200</v>
      </c>
      <c r="D15" s="219">
        <v>0</v>
      </c>
      <c r="E15" s="173" t="s">
        <v>308</v>
      </c>
    </row>
    <row r="16" spans="1:5" ht="78.75" customHeight="1" x14ac:dyDescent="0.3">
      <c r="B16" s="203" t="s">
        <v>68</v>
      </c>
      <c r="C16" s="162" t="s">
        <v>205</v>
      </c>
      <c r="D16" s="219">
        <v>0</v>
      </c>
      <c r="E16" s="173" t="s">
        <v>308</v>
      </c>
    </row>
    <row r="17" spans="1:5" ht="49.5" customHeight="1" x14ac:dyDescent="0.3">
      <c r="B17" s="203" t="s">
        <v>215</v>
      </c>
      <c r="C17" s="162" t="s">
        <v>217</v>
      </c>
      <c r="D17" s="219">
        <v>0</v>
      </c>
      <c r="E17" s="173" t="s">
        <v>307</v>
      </c>
    </row>
    <row r="19" spans="1:5" x14ac:dyDescent="0.3">
      <c r="A19" s="123" t="s">
        <v>312</v>
      </c>
    </row>
    <row r="20" spans="1:5" x14ac:dyDescent="0.3">
      <c r="B20" s="209" t="s">
        <v>273</v>
      </c>
      <c r="C20" s="210" t="s">
        <v>262</v>
      </c>
      <c r="D20" s="220" t="s">
        <v>292</v>
      </c>
      <c r="E20" s="183" t="s">
        <v>295</v>
      </c>
    </row>
    <row r="21" spans="1:5" ht="117.75" customHeight="1" x14ac:dyDescent="0.3">
      <c r="B21" s="184" t="s">
        <v>163</v>
      </c>
      <c r="C21" s="181" t="s">
        <v>183</v>
      </c>
      <c r="D21" s="222">
        <v>0</v>
      </c>
      <c r="E21" s="238" t="s">
        <v>326</v>
      </c>
    </row>
    <row r="22" spans="1:5" hidden="1" x14ac:dyDescent="0.3">
      <c r="B22" s="98" t="s">
        <v>163</v>
      </c>
      <c r="C22" s="157" t="s">
        <v>183</v>
      </c>
      <c r="D22" s="223"/>
      <c r="E22" s="223"/>
    </row>
    <row r="23" spans="1:5" hidden="1" x14ac:dyDescent="0.3">
      <c r="B23" s="175" t="s">
        <v>163</v>
      </c>
      <c r="C23" s="180" t="s">
        <v>183</v>
      </c>
      <c r="D23" s="223"/>
      <c r="E23" s="223"/>
    </row>
    <row r="24" spans="1:5" hidden="1" x14ac:dyDescent="0.3">
      <c r="B24" s="98" t="s">
        <v>163</v>
      </c>
      <c r="C24" s="157" t="s">
        <v>183</v>
      </c>
      <c r="D24" s="223"/>
      <c r="E24" s="223"/>
    </row>
    <row r="25" spans="1:5" hidden="1" x14ac:dyDescent="0.3">
      <c r="B25" s="175" t="s">
        <v>163</v>
      </c>
      <c r="C25" s="180" t="s">
        <v>183</v>
      </c>
      <c r="D25" s="223"/>
      <c r="E25" s="223"/>
    </row>
    <row r="26" spans="1:5" hidden="1" x14ac:dyDescent="0.3">
      <c r="B26" s="98" t="s">
        <v>163</v>
      </c>
      <c r="C26" s="157" t="s">
        <v>183</v>
      </c>
      <c r="D26" s="223"/>
      <c r="E26" s="223"/>
    </row>
    <row r="27" spans="1:5" hidden="1" x14ac:dyDescent="0.3">
      <c r="B27" s="175" t="s">
        <v>163</v>
      </c>
      <c r="C27" s="180" t="s">
        <v>183</v>
      </c>
      <c r="D27" s="223"/>
      <c r="E27" s="223"/>
    </row>
    <row r="28" spans="1:5" hidden="1" x14ac:dyDescent="0.3">
      <c r="B28" s="98" t="s">
        <v>163</v>
      </c>
      <c r="C28" s="157" t="s">
        <v>183</v>
      </c>
      <c r="D28" s="223"/>
      <c r="E28" s="223"/>
    </row>
    <row r="29" spans="1:5" ht="49.5" customHeight="1" x14ac:dyDescent="0.3">
      <c r="B29" s="185" t="s">
        <v>177</v>
      </c>
      <c r="C29" s="181" t="s">
        <v>190</v>
      </c>
      <c r="D29" s="222">
        <v>0</v>
      </c>
      <c r="E29" s="238" t="s">
        <v>326</v>
      </c>
    </row>
    <row r="30" spans="1:5" hidden="1" x14ac:dyDescent="0.3">
      <c r="B30" s="176" t="s">
        <v>177</v>
      </c>
      <c r="C30" s="157" t="s">
        <v>190</v>
      </c>
      <c r="D30" s="223"/>
      <c r="E30" s="223"/>
    </row>
    <row r="31" spans="1:5" hidden="1" x14ac:dyDescent="0.3">
      <c r="B31" s="174" t="s">
        <v>177</v>
      </c>
      <c r="C31" s="180" t="s">
        <v>190</v>
      </c>
      <c r="D31" s="223"/>
      <c r="E31" s="223"/>
    </row>
    <row r="32" spans="1:5" hidden="1" x14ac:dyDescent="0.3">
      <c r="B32" s="176" t="s">
        <v>177</v>
      </c>
      <c r="C32" s="157" t="s">
        <v>190</v>
      </c>
      <c r="D32" s="223"/>
      <c r="E32" s="223"/>
    </row>
    <row r="33" spans="2:5" hidden="1" x14ac:dyDescent="0.3">
      <c r="B33" s="174" t="s">
        <v>177</v>
      </c>
      <c r="C33" s="180" t="s">
        <v>190</v>
      </c>
      <c r="D33" s="223"/>
      <c r="E33" s="223"/>
    </row>
    <row r="34" spans="2:5" hidden="1" x14ac:dyDescent="0.3">
      <c r="B34" s="176" t="s">
        <v>177</v>
      </c>
      <c r="C34" s="157" t="s">
        <v>190</v>
      </c>
      <c r="D34" s="223"/>
      <c r="E34" s="223"/>
    </row>
    <row r="35" spans="2:5" hidden="1" x14ac:dyDescent="0.3">
      <c r="B35" s="174" t="s">
        <v>177</v>
      </c>
      <c r="C35" s="180" t="s">
        <v>190</v>
      </c>
      <c r="D35" s="223"/>
      <c r="E35" s="223"/>
    </row>
    <row r="36" spans="2:5" hidden="1" x14ac:dyDescent="0.3">
      <c r="B36" s="176" t="s">
        <v>177</v>
      </c>
      <c r="C36" s="157" t="s">
        <v>190</v>
      </c>
      <c r="D36" s="223"/>
      <c r="E36" s="223"/>
    </row>
    <row r="37" spans="2:5" hidden="1" x14ac:dyDescent="0.3">
      <c r="B37" s="174" t="s">
        <v>177</v>
      </c>
      <c r="C37" s="180" t="s">
        <v>190</v>
      </c>
      <c r="D37" s="223"/>
      <c r="E37" s="223"/>
    </row>
    <row r="38" spans="2:5" hidden="1" x14ac:dyDescent="0.3">
      <c r="B38" s="176" t="s">
        <v>177</v>
      </c>
      <c r="C38" s="157" t="s">
        <v>190</v>
      </c>
      <c r="D38" s="223"/>
      <c r="E38" s="223"/>
    </row>
    <row r="39" spans="2:5" hidden="1" x14ac:dyDescent="0.3">
      <c r="B39" s="174" t="s">
        <v>177</v>
      </c>
      <c r="C39" s="180" t="s">
        <v>190</v>
      </c>
      <c r="D39" s="223"/>
      <c r="E39" s="223"/>
    </row>
    <row r="40" spans="2:5" hidden="1" x14ac:dyDescent="0.3">
      <c r="B40" s="176" t="s">
        <v>177</v>
      </c>
      <c r="C40" s="157" t="s">
        <v>190</v>
      </c>
      <c r="D40" s="223"/>
      <c r="E40" s="223"/>
    </row>
    <row r="41" spans="2:5" hidden="1" x14ac:dyDescent="0.3">
      <c r="B41" s="174" t="s">
        <v>177</v>
      </c>
      <c r="C41" s="180" t="s">
        <v>190</v>
      </c>
      <c r="D41" s="223"/>
      <c r="E41" s="223"/>
    </row>
    <row r="42" spans="2:5" hidden="1" x14ac:dyDescent="0.3">
      <c r="B42" s="176" t="s">
        <v>177</v>
      </c>
      <c r="C42" s="157" t="s">
        <v>190</v>
      </c>
      <c r="D42" s="223"/>
      <c r="E42" s="223"/>
    </row>
    <row r="43" spans="2:5" hidden="1" x14ac:dyDescent="0.3">
      <c r="B43" s="174" t="s">
        <v>177</v>
      </c>
      <c r="C43" s="180" t="s">
        <v>190</v>
      </c>
      <c r="D43" s="223"/>
      <c r="E43" s="223"/>
    </row>
    <row r="44" spans="2:5" hidden="1" x14ac:dyDescent="0.3">
      <c r="B44" s="176" t="s">
        <v>177</v>
      </c>
      <c r="C44" s="157" t="s">
        <v>190</v>
      </c>
      <c r="D44" s="223"/>
      <c r="E44" s="223"/>
    </row>
    <row r="45" spans="2:5" hidden="1" x14ac:dyDescent="0.3">
      <c r="B45" s="174" t="s">
        <v>177</v>
      </c>
      <c r="C45" s="180" t="s">
        <v>190</v>
      </c>
      <c r="D45" s="223"/>
      <c r="E45" s="223"/>
    </row>
    <row r="46" spans="2:5" ht="33" customHeight="1" x14ac:dyDescent="0.3">
      <c r="B46" s="186" t="s">
        <v>67</v>
      </c>
      <c r="C46" s="182" t="s">
        <v>196</v>
      </c>
      <c r="D46" s="222">
        <v>0</v>
      </c>
      <c r="E46" s="238" t="s">
        <v>326</v>
      </c>
    </row>
    <row r="47" spans="2:5" hidden="1" x14ac:dyDescent="0.3">
      <c r="B47" s="174" t="s">
        <v>67</v>
      </c>
      <c r="C47" s="180" t="s">
        <v>196</v>
      </c>
      <c r="D47" s="223"/>
      <c r="E47" s="223"/>
    </row>
    <row r="48" spans="2:5" hidden="1" x14ac:dyDescent="0.3">
      <c r="B48" s="176" t="s">
        <v>67</v>
      </c>
      <c r="C48" s="157" t="s">
        <v>196</v>
      </c>
      <c r="D48" s="223"/>
      <c r="E48" s="223"/>
    </row>
    <row r="49" spans="2:5" hidden="1" x14ac:dyDescent="0.3">
      <c r="B49" s="174" t="s">
        <v>67</v>
      </c>
      <c r="C49" s="180" t="s">
        <v>196</v>
      </c>
      <c r="D49" s="223"/>
      <c r="E49" s="223"/>
    </row>
    <row r="50" spans="2:5" hidden="1" x14ac:dyDescent="0.3">
      <c r="B50" s="176" t="s">
        <v>67</v>
      </c>
      <c r="C50" s="157" t="s">
        <v>196</v>
      </c>
      <c r="D50" s="223"/>
      <c r="E50" s="223"/>
    </row>
    <row r="51" spans="2:5" hidden="1" x14ac:dyDescent="0.3">
      <c r="B51" s="174" t="s">
        <v>67</v>
      </c>
      <c r="C51" s="180" t="s">
        <v>196</v>
      </c>
      <c r="D51" s="223"/>
      <c r="E51" s="223"/>
    </row>
    <row r="52" spans="2:5" hidden="1" x14ac:dyDescent="0.3">
      <c r="B52" s="176" t="s">
        <v>67</v>
      </c>
      <c r="C52" s="157" t="s">
        <v>196</v>
      </c>
      <c r="D52" s="223"/>
      <c r="E52" s="223"/>
    </row>
    <row r="53" spans="2:5" ht="57.6" x14ac:dyDescent="0.3">
      <c r="B53" s="185" t="s">
        <v>175</v>
      </c>
      <c r="C53" s="181" t="s">
        <v>201</v>
      </c>
      <c r="D53" s="222">
        <v>0</v>
      </c>
      <c r="E53" s="238" t="s">
        <v>326</v>
      </c>
    </row>
    <row r="54" spans="2:5" hidden="1" x14ac:dyDescent="0.3">
      <c r="B54" s="176" t="s">
        <v>175</v>
      </c>
      <c r="C54" s="157" t="s">
        <v>201</v>
      </c>
      <c r="D54" s="223"/>
      <c r="E54" s="223"/>
    </row>
    <row r="55" spans="2:5" hidden="1" x14ac:dyDescent="0.3">
      <c r="B55" s="174" t="s">
        <v>175</v>
      </c>
      <c r="C55" s="180" t="s">
        <v>201</v>
      </c>
      <c r="D55" s="223"/>
      <c r="E55" s="223"/>
    </row>
    <row r="56" spans="2:5" hidden="1" x14ac:dyDescent="0.3">
      <c r="B56" s="176" t="s">
        <v>175</v>
      </c>
      <c r="C56" s="157" t="s">
        <v>201</v>
      </c>
      <c r="D56" s="223"/>
      <c r="E56" s="223"/>
    </row>
    <row r="57" spans="2:5" hidden="1" x14ac:dyDescent="0.3">
      <c r="B57" s="174" t="s">
        <v>175</v>
      </c>
      <c r="C57" s="180" t="s">
        <v>201</v>
      </c>
      <c r="D57" s="223"/>
      <c r="E57" s="223"/>
    </row>
    <row r="58" spans="2:5" hidden="1" x14ac:dyDescent="0.3">
      <c r="B58" s="176" t="s">
        <v>175</v>
      </c>
      <c r="C58" s="157" t="s">
        <v>201</v>
      </c>
      <c r="D58" s="223"/>
      <c r="E58" s="223"/>
    </row>
    <row r="59" spans="2:5" hidden="1" x14ac:dyDescent="0.3">
      <c r="B59" s="174" t="s">
        <v>175</v>
      </c>
      <c r="C59" s="180" t="s">
        <v>201</v>
      </c>
      <c r="D59" s="223"/>
      <c r="E59" s="223"/>
    </row>
    <row r="60" spans="2:5" hidden="1" x14ac:dyDescent="0.3">
      <c r="B60" s="176" t="s">
        <v>175</v>
      </c>
      <c r="C60" s="157" t="s">
        <v>201</v>
      </c>
      <c r="D60" s="223"/>
      <c r="E60" s="223"/>
    </row>
    <row r="61" spans="2:5" hidden="1" x14ac:dyDescent="0.3">
      <c r="B61" s="174" t="s">
        <v>175</v>
      </c>
      <c r="C61" s="180" t="s">
        <v>201</v>
      </c>
      <c r="D61" s="223"/>
      <c r="E61" s="223"/>
    </row>
    <row r="62" spans="2:5" ht="72" x14ac:dyDescent="0.3">
      <c r="B62" s="186" t="s">
        <v>68</v>
      </c>
      <c r="C62" s="182" t="s">
        <v>206</v>
      </c>
      <c r="D62" s="222">
        <v>0</v>
      </c>
      <c r="E62" s="238" t="s">
        <v>326</v>
      </c>
    </row>
    <row r="63" spans="2:5" hidden="1" x14ac:dyDescent="0.3">
      <c r="B63" s="174" t="s">
        <v>68</v>
      </c>
      <c r="C63" s="180" t="s">
        <v>206</v>
      </c>
      <c r="D63" s="223"/>
      <c r="E63" s="223"/>
    </row>
    <row r="64" spans="2:5" hidden="1" x14ac:dyDescent="0.3">
      <c r="B64" s="176" t="s">
        <v>68</v>
      </c>
      <c r="C64" s="157" t="s">
        <v>206</v>
      </c>
      <c r="D64" s="223"/>
      <c r="E64" s="223"/>
    </row>
    <row r="65" spans="2:5" hidden="1" x14ac:dyDescent="0.3">
      <c r="B65" s="174" t="s">
        <v>68</v>
      </c>
      <c r="C65" s="180" t="s">
        <v>206</v>
      </c>
      <c r="D65" s="223"/>
      <c r="E65" s="223"/>
    </row>
    <row r="66" spans="2:5" hidden="1" x14ac:dyDescent="0.3">
      <c r="B66" s="176" t="s">
        <v>68</v>
      </c>
      <c r="C66" s="157" t="s">
        <v>206</v>
      </c>
      <c r="D66" s="223"/>
      <c r="E66" s="223"/>
    </row>
    <row r="67" spans="2:5" hidden="1" x14ac:dyDescent="0.3">
      <c r="B67" s="174" t="s">
        <v>68</v>
      </c>
      <c r="C67" s="180" t="s">
        <v>206</v>
      </c>
      <c r="D67" s="223"/>
      <c r="E67" s="223"/>
    </row>
    <row r="68" spans="2:5" hidden="1" x14ac:dyDescent="0.3">
      <c r="B68" s="176" t="s">
        <v>68</v>
      </c>
      <c r="C68" s="157" t="s">
        <v>206</v>
      </c>
      <c r="D68" s="223"/>
      <c r="E68" s="223"/>
    </row>
    <row r="69" spans="2:5" hidden="1" x14ac:dyDescent="0.3">
      <c r="B69" s="174" t="s">
        <v>68</v>
      </c>
      <c r="C69" s="180" t="s">
        <v>206</v>
      </c>
      <c r="D69" s="223"/>
      <c r="E69" s="223"/>
    </row>
    <row r="70" spans="2:5" hidden="1" x14ac:dyDescent="0.3">
      <c r="B70" s="176" t="s">
        <v>68</v>
      </c>
      <c r="C70" s="157" t="s">
        <v>206</v>
      </c>
      <c r="D70" s="223"/>
      <c r="E70" s="223"/>
    </row>
    <row r="71" spans="2:5" hidden="1" x14ac:dyDescent="0.3">
      <c r="B71" s="174" t="s">
        <v>68</v>
      </c>
      <c r="C71" s="180" t="s">
        <v>206</v>
      </c>
      <c r="D71" s="223"/>
      <c r="E71" s="223"/>
    </row>
    <row r="72" spans="2:5" hidden="1" x14ac:dyDescent="0.3">
      <c r="B72" s="176" t="s">
        <v>68</v>
      </c>
      <c r="C72" s="157" t="s">
        <v>206</v>
      </c>
      <c r="D72" s="223"/>
      <c r="E72" s="223"/>
    </row>
    <row r="73" spans="2:5" hidden="1" x14ac:dyDescent="0.3">
      <c r="B73" s="174" t="s">
        <v>68</v>
      </c>
      <c r="C73" s="180" t="s">
        <v>206</v>
      </c>
      <c r="D73" s="223"/>
      <c r="E73" s="223"/>
    </row>
    <row r="74" spans="2:5" hidden="1" x14ac:dyDescent="0.3">
      <c r="B74" s="176" t="s">
        <v>68</v>
      </c>
      <c r="C74" s="157" t="s">
        <v>206</v>
      </c>
      <c r="D74" s="223"/>
      <c r="E74" s="223"/>
    </row>
    <row r="75" spans="2:5" hidden="1" x14ac:dyDescent="0.3">
      <c r="B75" s="174" t="s">
        <v>68</v>
      </c>
      <c r="C75" s="180" t="s">
        <v>206</v>
      </c>
      <c r="D75" s="223"/>
      <c r="E75" s="223"/>
    </row>
    <row r="76" spans="2:5" hidden="1" x14ac:dyDescent="0.3">
      <c r="B76" s="176" t="s">
        <v>68</v>
      </c>
      <c r="C76" s="157" t="s">
        <v>206</v>
      </c>
      <c r="D76" s="223"/>
      <c r="E76" s="223"/>
    </row>
    <row r="77" spans="2:5" hidden="1" x14ac:dyDescent="0.3">
      <c r="B77" s="174" t="s">
        <v>68</v>
      </c>
      <c r="C77" s="180" t="s">
        <v>206</v>
      </c>
      <c r="D77" s="223"/>
      <c r="E77" s="223"/>
    </row>
    <row r="78" spans="2:5" ht="17.25" hidden="1" customHeight="1" x14ac:dyDescent="0.3">
      <c r="B78" s="185" t="s">
        <v>215</v>
      </c>
      <c r="C78" s="181" t="s">
        <v>314</v>
      </c>
      <c r="D78" s="223"/>
      <c r="E78" s="223"/>
    </row>
    <row r="79" spans="2:5" ht="28.8" x14ac:dyDescent="0.3">
      <c r="B79" s="186" t="s">
        <v>215</v>
      </c>
      <c r="C79" s="204" t="s">
        <v>218</v>
      </c>
      <c r="D79" s="222">
        <v>0</v>
      </c>
      <c r="E79" s="238" t="s">
        <v>327</v>
      </c>
    </row>
    <row r="80" spans="2:5" hidden="1" x14ac:dyDescent="0.3">
      <c r="B80" s="207" t="s">
        <v>215</v>
      </c>
      <c r="C80" s="208" t="s">
        <v>218</v>
      </c>
      <c r="D80" s="122"/>
    </row>
    <row r="81" spans="1:5" hidden="1" x14ac:dyDescent="0.3">
      <c r="B81" s="176" t="s">
        <v>215</v>
      </c>
      <c r="C81" s="157" t="s">
        <v>218</v>
      </c>
      <c r="D81" s="122"/>
    </row>
    <row r="82" spans="1:5" hidden="1" x14ac:dyDescent="0.3">
      <c r="B82" s="199" t="s">
        <v>215</v>
      </c>
      <c r="C82" s="200" t="s">
        <v>218</v>
      </c>
      <c r="D82" s="122"/>
    </row>
    <row r="84" spans="1:5" x14ac:dyDescent="0.3">
      <c r="A84" s="123" t="s">
        <v>315</v>
      </c>
    </row>
    <row r="85" spans="1:5" x14ac:dyDescent="0.3">
      <c r="A85" s="123"/>
      <c r="E85" s="198" t="s">
        <v>384</v>
      </c>
    </row>
    <row r="86" spans="1:5" x14ac:dyDescent="0.3">
      <c r="B86" s="189" t="s">
        <v>273</v>
      </c>
      <c r="C86" s="189" t="s">
        <v>263</v>
      </c>
      <c r="D86" s="221" t="s">
        <v>297</v>
      </c>
      <c r="E86" s="196" t="s">
        <v>295</v>
      </c>
    </row>
    <row r="87" spans="1:5" ht="135" customHeight="1" x14ac:dyDescent="0.3">
      <c r="B87" s="205" t="s">
        <v>163</v>
      </c>
      <c r="C87" s="181" t="s">
        <v>184</v>
      </c>
      <c r="D87" s="225">
        <v>0</v>
      </c>
      <c r="E87" s="226" t="s">
        <v>333</v>
      </c>
    </row>
    <row r="88" spans="1:5" ht="129.6" hidden="1" x14ac:dyDescent="0.3">
      <c r="B88" s="206" t="s">
        <v>163</v>
      </c>
      <c r="C88" s="182" t="s">
        <v>184</v>
      </c>
      <c r="D88" s="187"/>
      <c r="E88" s="187"/>
    </row>
    <row r="89" spans="1:5" ht="129.6" hidden="1" x14ac:dyDescent="0.3">
      <c r="B89" s="205" t="s">
        <v>163</v>
      </c>
      <c r="C89" s="181" t="s">
        <v>184</v>
      </c>
      <c r="D89" s="188"/>
      <c r="E89" s="188"/>
    </row>
    <row r="90" spans="1:5" ht="129.6" hidden="1" x14ac:dyDescent="0.3">
      <c r="B90" s="206" t="s">
        <v>163</v>
      </c>
      <c r="C90" s="182" t="s">
        <v>184</v>
      </c>
      <c r="D90" s="188"/>
      <c r="E90" s="188"/>
    </row>
    <row r="91" spans="1:5" ht="129.6" hidden="1" x14ac:dyDescent="0.3">
      <c r="B91" s="205" t="s">
        <v>163</v>
      </c>
      <c r="C91" s="181" t="s">
        <v>184</v>
      </c>
      <c r="D91" s="188"/>
      <c r="E91" s="188"/>
    </row>
    <row r="92" spans="1:5" ht="129.6" hidden="1" x14ac:dyDescent="0.3">
      <c r="B92" s="206" t="s">
        <v>163</v>
      </c>
      <c r="C92" s="182" t="s">
        <v>184</v>
      </c>
      <c r="D92" s="188"/>
      <c r="E92" s="188"/>
    </row>
    <row r="93" spans="1:5" ht="77.25" customHeight="1" x14ac:dyDescent="0.3">
      <c r="B93" s="181" t="s">
        <v>177</v>
      </c>
      <c r="C93" s="181" t="s">
        <v>191</v>
      </c>
      <c r="D93" s="225">
        <v>0</v>
      </c>
      <c r="E93" s="226" t="s">
        <v>328</v>
      </c>
    </row>
    <row r="94" spans="1:5" ht="72" hidden="1" x14ac:dyDescent="0.3">
      <c r="B94" s="182" t="s">
        <v>177</v>
      </c>
      <c r="C94" s="182" t="s">
        <v>191</v>
      </c>
      <c r="D94" s="188"/>
      <c r="E94" s="188"/>
    </row>
    <row r="95" spans="1:5" ht="72" hidden="1" x14ac:dyDescent="0.3">
      <c r="B95" s="181" t="s">
        <v>177</v>
      </c>
      <c r="C95" s="181" t="s">
        <v>191</v>
      </c>
      <c r="D95" s="188"/>
      <c r="E95" s="188"/>
    </row>
    <row r="96" spans="1:5" ht="72" hidden="1" x14ac:dyDescent="0.3">
      <c r="B96" s="182" t="s">
        <v>177</v>
      </c>
      <c r="C96" s="182" t="s">
        <v>191</v>
      </c>
      <c r="D96" s="188"/>
      <c r="E96" s="188"/>
    </row>
    <row r="97" spans="2:5" ht="72" hidden="1" x14ac:dyDescent="0.3">
      <c r="B97" s="181" t="s">
        <v>177</v>
      </c>
      <c r="C97" s="181" t="s">
        <v>191</v>
      </c>
      <c r="D97" s="188"/>
      <c r="E97" s="188"/>
    </row>
    <row r="98" spans="2:5" ht="72" hidden="1" x14ac:dyDescent="0.3">
      <c r="B98" s="182" t="s">
        <v>177</v>
      </c>
      <c r="C98" s="182" t="s">
        <v>191</v>
      </c>
      <c r="D98" s="188"/>
      <c r="E98" s="188"/>
    </row>
    <row r="99" spans="2:5" ht="72" hidden="1" x14ac:dyDescent="0.3">
      <c r="B99" s="181" t="s">
        <v>177</v>
      </c>
      <c r="C99" s="181" t="s">
        <v>191</v>
      </c>
      <c r="D99" s="188"/>
      <c r="E99" s="188"/>
    </row>
    <row r="100" spans="2:5" ht="72" hidden="1" x14ac:dyDescent="0.3">
      <c r="B100" s="182" t="s">
        <v>177</v>
      </c>
      <c r="C100" s="182" t="s">
        <v>191</v>
      </c>
      <c r="D100" s="188"/>
      <c r="E100" s="188"/>
    </row>
    <row r="101" spans="2:5" ht="72" hidden="1" x14ac:dyDescent="0.3">
      <c r="B101" s="181" t="s">
        <v>177</v>
      </c>
      <c r="C101" s="181" t="s">
        <v>191</v>
      </c>
      <c r="D101" s="188"/>
      <c r="E101" s="188"/>
    </row>
    <row r="102" spans="2:5" ht="72" hidden="1" x14ac:dyDescent="0.3">
      <c r="B102" s="182" t="s">
        <v>177</v>
      </c>
      <c r="C102" s="182" t="s">
        <v>191</v>
      </c>
      <c r="D102" s="188"/>
      <c r="E102" s="188"/>
    </row>
    <row r="103" spans="2:5" ht="72" hidden="1" x14ac:dyDescent="0.3">
      <c r="B103" s="181" t="s">
        <v>177</v>
      </c>
      <c r="C103" s="181" t="s">
        <v>191</v>
      </c>
      <c r="D103" s="188"/>
      <c r="E103" s="188"/>
    </row>
    <row r="104" spans="2:5" ht="72" hidden="1" x14ac:dyDescent="0.3">
      <c r="B104" s="182" t="s">
        <v>177</v>
      </c>
      <c r="C104" s="182" t="s">
        <v>191</v>
      </c>
      <c r="D104" s="188"/>
      <c r="E104" s="188"/>
    </row>
    <row r="105" spans="2:5" ht="72" hidden="1" x14ac:dyDescent="0.3">
      <c r="B105" s="181" t="s">
        <v>177</v>
      </c>
      <c r="C105" s="181" t="s">
        <v>191</v>
      </c>
      <c r="D105" s="188"/>
      <c r="E105" s="188"/>
    </row>
    <row r="106" spans="2:5" ht="72" hidden="1" x14ac:dyDescent="0.3">
      <c r="B106" s="182" t="s">
        <v>177</v>
      </c>
      <c r="C106" s="182" t="s">
        <v>191</v>
      </c>
      <c r="D106" s="187"/>
      <c r="E106" s="187"/>
    </row>
    <row r="107" spans="2:5" ht="72" hidden="1" x14ac:dyDescent="0.3">
      <c r="B107" s="181" t="s">
        <v>177</v>
      </c>
      <c r="C107" s="181" t="s">
        <v>191</v>
      </c>
      <c r="D107" s="188"/>
      <c r="E107" s="188"/>
    </row>
    <row r="108" spans="2:5" ht="72" hidden="1" x14ac:dyDescent="0.3">
      <c r="B108" s="182" t="s">
        <v>177</v>
      </c>
      <c r="C108" s="182" t="s">
        <v>191</v>
      </c>
      <c r="D108" s="188"/>
      <c r="E108" s="188"/>
    </row>
    <row r="109" spans="2:5" ht="72" hidden="1" x14ac:dyDescent="0.3">
      <c r="B109" s="181" t="s">
        <v>177</v>
      </c>
      <c r="C109" s="181" t="s">
        <v>191</v>
      </c>
      <c r="D109" s="188"/>
      <c r="E109" s="188"/>
    </row>
    <row r="110" spans="2:5" ht="117" customHeight="1" x14ac:dyDescent="0.3">
      <c r="B110" s="182" t="s">
        <v>67</v>
      </c>
      <c r="C110" s="182" t="s">
        <v>197</v>
      </c>
      <c r="D110" s="225">
        <v>0</v>
      </c>
      <c r="E110" s="226" t="s">
        <v>328</v>
      </c>
    </row>
    <row r="111" spans="2:5" ht="115.2" hidden="1" x14ac:dyDescent="0.3">
      <c r="B111" s="181" t="s">
        <v>67</v>
      </c>
      <c r="C111" s="181" t="s">
        <v>197</v>
      </c>
      <c r="D111" s="188"/>
      <c r="E111" s="188"/>
    </row>
    <row r="112" spans="2:5" ht="115.2" hidden="1" x14ac:dyDescent="0.3">
      <c r="B112" s="182" t="s">
        <v>67</v>
      </c>
      <c r="C112" s="182" t="s">
        <v>197</v>
      </c>
      <c r="D112" s="188"/>
      <c r="E112" s="188"/>
    </row>
    <row r="113" spans="2:5" ht="115.2" hidden="1" x14ac:dyDescent="0.3">
      <c r="B113" s="181" t="s">
        <v>67</v>
      </c>
      <c r="C113" s="181" t="s">
        <v>197</v>
      </c>
      <c r="D113" s="188"/>
      <c r="E113" s="188"/>
    </row>
    <row r="114" spans="2:5" ht="115.2" hidden="1" x14ac:dyDescent="0.3">
      <c r="B114" s="182" t="s">
        <v>67</v>
      </c>
      <c r="C114" s="182" t="s">
        <v>197</v>
      </c>
      <c r="D114" s="187"/>
      <c r="E114" s="187"/>
    </row>
    <row r="115" spans="2:5" ht="115.2" hidden="1" x14ac:dyDescent="0.3">
      <c r="B115" s="181" t="s">
        <v>67</v>
      </c>
      <c r="C115" s="181" t="s">
        <v>197</v>
      </c>
      <c r="D115" s="188"/>
      <c r="E115" s="188"/>
    </row>
    <row r="116" spans="2:5" ht="115.2" hidden="1" x14ac:dyDescent="0.3">
      <c r="B116" s="182" t="s">
        <v>67</v>
      </c>
      <c r="C116" s="182" t="s">
        <v>197</v>
      </c>
      <c r="D116" s="188"/>
      <c r="E116" s="188"/>
    </row>
    <row r="117" spans="2:5" ht="66.75" customHeight="1" x14ac:dyDescent="0.3">
      <c r="B117" s="181" t="s">
        <v>175</v>
      </c>
      <c r="C117" s="181" t="s">
        <v>202</v>
      </c>
      <c r="D117" s="225">
        <v>0</v>
      </c>
      <c r="E117" s="226" t="s">
        <v>332</v>
      </c>
    </row>
    <row r="118" spans="2:5" ht="43.2" hidden="1" x14ac:dyDescent="0.3">
      <c r="B118" s="182" t="s">
        <v>175</v>
      </c>
      <c r="C118" s="182" t="s">
        <v>202</v>
      </c>
      <c r="D118" s="188"/>
      <c r="E118" s="188"/>
    </row>
    <row r="119" spans="2:5" ht="43.2" hidden="1" x14ac:dyDescent="0.3">
      <c r="B119" s="181" t="s">
        <v>175</v>
      </c>
      <c r="C119" s="181" t="s">
        <v>202</v>
      </c>
      <c r="D119" s="188"/>
      <c r="E119" s="188"/>
    </row>
    <row r="120" spans="2:5" ht="43.2" hidden="1" x14ac:dyDescent="0.3">
      <c r="B120" s="182" t="s">
        <v>175</v>
      </c>
      <c r="C120" s="182" t="s">
        <v>202</v>
      </c>
      <c r="D120" s="188"/>
      <c r="E120" s="188"/>
    </row>
    <row r="121" spans="2:5" ht="43.2" hidden="1" x14ac:dyDescent="0.3">
      <c r="B121" s="181" t="s">
        <v>175</v>
      </c>
      <c r="C121" s="181" t="s">
        <v>202</v>
      </c>
      <c r="D121" s="188"/>
      <c r="E121" s="188"/>
    </row>
    <row r="122" spans="2:5" ht="43.2" hidden="1" x14ac:dyDescent="0.3">
      <c r="B122" s="182" t="s">
        <v>175</v>
      </c>
      <c r="C122" s="182" t="s">
        <v>202</v>
      </c>
      <c r="D122" s="188"/>
      <c r="E122" s="188"/>
    </row>
    <row r="123" spans="2:5" ht="43.2" hidden="1" x14ac:dyDescent="0.3">
      <c r="B123" s="181" t="s">
        <v>175</v>
      </c>
      <c r="C123" s="181" t="s">
        <v>202</v>
      </c>
      <c r="D123" s="188"/>
      <c r="E123" s="188"/>
    </row>
    <row r="124" spans="2:5" ht="43.2" hidden="1" x14ac:dyDescent="0.3">
      <c r="B124" s="182" t="s">
        <v>175</v>
      </c>
      <c r="C124" s="182" t="s">
        <v>202</v>
      </c>
      <c r="D124" s="187"/>
      <c r="E124" s="187"/>
    </row>
    <row r="125" spans="2:5" ht="43.2" hidden="1" x14ac:dyDescent="0.3">
      <c r="B125" s="181" t="s">
        <v>175</v>
      </c>
      <c r="C125" s="181" t="s">
        <v>202</v>
      </c>
      <c r="D125" s="188"/>
      <c r="E125" s="188"/>
    </row>
    <row r="126" spans="2:5" ht="86.4" x14ac:dyDescent="0.3">
      <c r="B126" s="182" t="s">
        <v>68</v>
      </c>
      <c r="C126" s="182" t="s">
        <v>207</v>
      </c>
      <c r="D126" s="225">
        <v>0</v>
      </c>
      <c r="E126" s="226" t="s">
        <v>328</v>
      </c>
    </row>
    <row r="127" spans="2:5" ht="86.4" hidden="1" x14ac:dyDescent="0.3">
      <c r="B127" s="181" t="s">
        <v>68</v>
      </c>
      <c r="C127" s="181" t="s">
        <v>207</v>
      </c>
      <c r="D127" s="188"/>
      <c r="E127" s="188"/>
    </row>
    <row r="128" spans="2:5" ht="86.4" hidden="1" x14ac:dyDescent="0.3">
      <c r="B128" s="182" t="s">
        <v>68</v>
      </c>
      <c r="C128" s="182" t="s">
        <v>207</v>
      </c>
      <c r="D128" s="188"/>
      <c r="E128" s="188"/>
    </row>
    <row r="129" spans="2:5" ht="86.4" hidden="1" x14ac:dyDescent="0.3">
      <c r="B129" s="181" t="s">
        <v>68</v>
      </c>
      <c r="C129" s="181" t="s">
        <v>207</v>
      </c>
      <c r="D129" s="188"/>
      <c r="E129" s="188"/>
    </row>
    <row r="130" spans="2:5" ht="86.4" hidden="1" x14ac:dyDescent="0.3">
      <c r="B130" s="182" t="s">
        <v>68</v>
      </c>
      <c r="C130" s="182" t="s">
        <v>207</v>
      </c>
      <c r="D130" s="188"/>
      <c r="E130" s="188"/>
    </row>
    <row r="131" spans="2:5" ht="86.4" hidden="1" x14ac:dyDescent="0.3">
      <c r="B131" s="181" t="s">
        <v>68</v>
      </c>
      <c r="C131" s="181" t="s">
        <v>207</v>
      </c>
      <c r="D131" s="188"/>
      <c r="E131" s="188"/>
    </row>
    <row r="132" spans="2:5" ht="86.4" hidden="1" x14ac:dyDescent="0.3">
      <c r="B132" s="182" t="s">
        <v>68</v>
      </c>
      <c r="C132" s="182" t="s">
        <v>207</v>
      </c>
      <c r="D132" s="188"/>
      <c r="E132" s="188"/>
    </row>
    <row r="133" spans="2:5" ht="86.4" hidden="1" x14ac:dyDescent="0.3">
      <c r="B133" s="181" t="s">
        <v>68</v>
      </c>
      <c r="C133" s="181" t="s">
        <v>207</v>
      </c>
      <c r="D133" s="188"/>
      <c r="E133" s="188"/>
    </row>
    <row r="134" spans="2:5" ht="86.4" hidden="1" x14ac:dyDescent="0.3">
      <c r="B134" s="182" t="s">
        <v>68</v>
      </c>
      <c r="C134" s="182" t="s">
        <v>207</v>
      </c>
      <c r="D134" s="188"/>
      <c r="E134" s="188"/>
    </row>
    <row r="135" spans="2:5" ht="86.4" hidden="1" x14ac:dyDescent="0.3">
      <c r="B135" s="181" t="s">
        <v>68</v>
      </c>
      <c r="C135" s="181" t="s">
        <v>207</v>
      </c>
      <c r="D135" s="188"/>
      <c r="E135" s="188"/>
    </row>
    <row r="136" spans="2:5" ht="86.4" hidden="1" x14ac:dyDescent="0.3">
      <c r="B136" s="182" t="s">
        <v>68</v>
      </c>
      <c r="C136" s="182" t="s">
        <v>207</v>
      </c>
      <c r="D136" s="188"/>
      <c r="E136" s="188"/>
    </row>
    <row r="137" spans="2:5" ht="86.4" hidden="1" x14ac:dyDescent="0.3">
      <c r="B137" s="181" t="s">
        <v>68</v>
      </c>
      <c r="C137" s="181" t="s">
        <v>207</v>
      </c>
      <c r="D137" s="188"/>
      <c r="E137" s="188"/>
    </row>
    <row r="138" spans="2:5" ht="86.4" hidden="1" x14ac:dyDescent="0.3">
      <c r="B138" s="182" t="s">
        <v>68</v>
      </c>
      <c r="C138" s="182" t="s">
        <v>207</v>
      </c>
      <c r="D138" s="188"/>
      <c r="E138" s="188"/>
    </row>
    <row r="139" spans="2:5" ht="86.4" hidden="1" x14ac:dyDescent="0.3">
      <c r="B139" s="181" t="s">
        <v>68</v>
      </c>
      <c r="C139" s="181" t="s">
        <v>207</v>
      </c>
      <c r="D139" s="188"/>
      <c r="E139" s="188"/>
    </row>
    <row r="140" spans="2:5" ht="86.4" hidden="1" x14ac:dyDescent="0.3">
      <c r="B140" s="182" t="s">
        <v>68</v>
      </c>
      <c r="C140" s="182" t="s">
        <v>207</v>
      </c>
      <c r="D140" s="188"/>
      <c r="E140" s="188"/>
    </row>
    <row r="141" spans="2:5" ht="86.4" hidden="1" x14ac:dyDescent="0.3">
      <c r="B141" s="181" t="s">
        <v>68</v>
      </c>
      <c r="C141" s="181" t="s">
        <v>207</v>
      </c>
      <c r="D141" s="187"/>
      <c r="E141" s="187"/>
    </row>
    <row r="142" spans="2:5" ht="28.8" x14ac:dyDescent="0.3">
      <c r="B142" s="182" t="s">
        <v>215</v>
      </c>
      <c r="C142" s="182" t="s">
        <v>82</v>
      </c>
      <c r="D142" s="225">
        <v>0</v>
      </c>
      <c r="E142" s="261" t="s">
        <v>339</v>
      </c>
    </row>
    <row r="143" spans="2:5" ht="28.8" hidden="1" x14ac:dyDescent="0.3">
      <c r="B143" s="181" t="s">
        <v>215</v>
      </c>
      <c r="C143" s="181" t="s">
        <v>82</v>
      </c>
      <c r="D143" s="195"/>
      <c r="E143" s="195"/>
    </row>
    <row r="144" spans="2:5" ht="28.8" hidden="1" x14ac:dyDescent="0.3">
      <c r="B144" s="182" t="s">
        <v>215</v>
      </c>
      <c r="C144" s="182" t="s">
        <v>82</v>
      </c>
      <c r="D144" s="195"/>
      <c r="E144" s="195"/>
    </row>
    <row r="145" spans="1:5" ht="28.8" hidden="1" x14ac:dyDescent="0.3">
      <c r="B145" s="181" t="s">
        <v>215</v>
      </c>
      <c r="C145" s="181" t="s">
        <v>82</v>
      </c>
      <c r="D145" s="195"/>
      <c r="E145" s="195"/>
    </row>
    <row r="146" spans="1:5" ht="28.8" hidden="1" x14ac:dyDescent="0.3">
      <c r="B146" s="182" t="s">
        <v>215</v>
      </c>
      <c r="C146" s="182" t="s">
        <v>82</v>
      </c>
      <c r="D146" s="195"/>
      <c r="E146" s="195"/>
    </row>
    <row r="147" spans="1:5" ht="28.8" hidden="1" x14ac:dyDescent="0.3">
      <c r="B147" s="181" t="s">
        <v>215</v>
      </c>
      <c r="C147" s="181" t="s">
        <v>82</v>
      </c>
      <c r="D147" s="195"/>
      <c r="E147" s="195"/>
    </row>
    <row r="149" spans="1:5" x14ac:dyDescent="0.3">
      <c r="A149" s="123" t="s">
        <v>316</v>
      </c>
    </row>
    <row r="150" spans="1:5" x14ac:dyDescent="0.3">
      <c r="E150" s="198" t="s">
        <v>376</v>
      </c>
    </row>
    <row r="151" spans="1:5" x14ac:dyDescent="0.3">
      <c r="B151" s="215" t="s">
        <v>273</v>
      </c>
      <c r="C151" s="215" t="s">
        <v>264</v>
      </c>
      <c r="D151" s="221" t="s">
        <v>298</v>
      </c>
      <c r="E151" s="196" t="s">
        <v>295</v>
      </c>
    </row>
    <row r="152" spans="1:5" ht="129.6" x14ac:dyDescent="0.3">
      <c r="B152" s="206" t="s">
        <v>163</v>
      </c>
      <c r="C152" s="182" t="s">
        <v>184</v>
      </c>
      <c r="D152" s="239">
        <v>0</v>
      </c>
      <c r="E152" s="224" t="s">
        <v>329</v>
      </c>
    </row>
    <row r="153" spans="1:5" ht="129.6" hidden="1" x14ac:dyDescent="0.3">
      <c r="B153" s="205" t="s">
        <v>163</v>
      </c>
      <c r="C153" s="181" t="s">
        <v>184</v>
      </c>
      <c r="D153" s="193"/>
      <c r="E153" s="193"/>
    </row>
    <row r="154" spans="1:5" ht="129.6" hidden="1" x14ac:dyDescent="0.3">
      <c r="B154" s="206" t="s">
        <v>163</v>
      </c>
      <c r="C154" s="182" t="s">
        <v>184</v>
      </c>
      <c r="D154" s="193"/>
      <c r="E154" s="193"/>
    </row>
    <row r="155" spans="1:5" ht="129.6" hidden="1" x14ac:dyDescent="0.3">
      <c r="B155" s="205" t="s">
        <v>163</v>
      </c>
      <c r="C155" s="181" t="s">
        <v>184</v>
      </c>
      <c r="D155" s="193"/>
      <c r="E155" s="193"/>
    </row>
    <row r="156" spans="1:5" ht="129.6" hidden="1" x14ac:dyDescent="0.3">
      <c r="B156" s="211" t="s">
        <v>163</v>
      </c>
      <c r="C156" s="192" t="s">
        <v>184</v>
      </c>
      <c r="D156" s="193"/>
      <c r="E156" s="193"/>
    </row>
    <row r="157" spans="1:5" ht="72" x14ac:dyDescent="0.3">
      <c r="B157" s="181" t="s">
        <v>177</v>
      </c>
      <c r="C157" s="181" t="s">
        <v>191</v>
      </c>
      <c r="D157" s="240">
        <v>0</v>
      </c>
      <c r="E157" s="224" t="s">
        <v>329</v>
      </c>
    </row>
    <row r="158" spans="1:5" ht="72" hidden="1" x14ac:dyDescent="0.3">
      <c r="B158" s="213" t="s">
        <v>177</v>
      </c>
      <c r="C158" s="213" t="s">
        <v>191</v>
      </c>
      <c r="D158" s="193"/>
      <c r="E158" s="193"/>
    </row>
    <row r="159" spans="1:5" ht="72" hidden="1" x14ac:dyDescent="0.3">
      <c r="B159" s="181" t="s">
        <v>177</v>
      </c>
      <c r="C159" s="181" t="s">
        <v>191</v>
      </c>
      <c r="D159" s="193"/>
      <c r="E159" s="193"/>
    </row>
    <row r="160" spans="1:5" ht="72" hidden="1" x14ac:dyDescent="0.3">
      <c r="B160" s="182" t="s">
        <v>177</v>
      </c>
      <c r="C160" s="182" t="s">
        <v>191</v>
      </c>
      <c r="D160" s="193"/>
      <c r="E160" s="193"/>
    </row>
    <row r="161" spans="2:5" ht="72" hidden="1" x14ac:dyDescent="0.3">
      <c r="B161" s="181" t="s">
        <v>177</v>
      </c>
      <c r="C161" s="181" t="s">
        <v>191</v>
      </c>
      <c r="D161" s="193"/>
      <c r="E161" s="193"/>
    </row>
    <row r="162" spans="2:5" ht="72" hidden="1" x14ac:dyDescent="0.3">
      <c r="B162" s="182" t="s">
        <v>177</v>
      </c>
      <c r="C162" s="182" t="s">
        <v>191</v>
      </c>
      <c r="D162" s="193"/>
      <c r="E162" s="193"/>
    </row>
    <row r="163" spans="2:5" ht="72" hidden="1" x14ac:dyDescent="0.3">
      <c r="B163" s="181" t="s">
        <v>177</v>
      </c>
      <c r="C163" s="181" t="s">
        <v>191</v>
      </c>
      <c r="D163" s="193"/>
      <c r="E163" s="193"/>
    </row>
    <row r="164" spans="2:5" ht="72" hidden="1" x14ac:dyDescent="0.3">
      <c r="B164" s="182" t="s">
        <v>177</v>
      </c>
      <c r="C164" s="182" t="s">
        <v>191</v>
      </c>
      <c r="D164" s="193"/>
      <c r="E164" s="193"/>
    </row>
    <row r="165" spans="2:5" ht="72" hidden="1" x14ac:dyDescent="0.3">
      <c r="B165" s="181" t="s">
        <v>177</v>
      </c>
      <c r="C165" s="181" t="s">
        <v>191</v>
      </c>
      <c r="D165" s="193"/>
      <c r="E165" s="193"/>
    </row>
    <row r="166" spans="2:5" ht="72" hidden="1" x14ac:dyDescent="0.3">
      <c r="B166" s="182" t="s">
        <v>177</v>
      </c>
      <c r="C166" s="182" t="s">
        <v>191</v>
      </c>
      <c r="D166" s="193"/>
      <c r="E166" s="193"/>
    </row>
    <row r="167" spans="2:5" ht="72" hidden="1" x14ac:dyDescent="0.3">
      <c r="B167" s="181" t="s">
        <v>177</v>
      </c>
      <c r="C167" s="181" t="s">
        <v>191</v>
      </c>
      <c r="D167" s="193"/>
      <c r="E167" s="193"/>
    </row>
    <row r="168" spans="2:5" ht="72" hidden="1" x14ac:dyDescent="0.3">
      <c r="B168" s="182" t="s">
        <v>177</v>
      </c>
      <c r="C168" s="182" t="s">
        <v>191</v>
      </c>
      <c r="D168" s="193"/>
      <c r="E168" s="193"/>
    </row>
    <row r="169" spans="2:5" ht="72" hidden="1" x14ac:dyDescent="0.3">
      <c r="B169" s="181" t="s">
        <v>177</v>
      </c>
      <c r="C169" s="181" t="s">
        <v>191</v>
      </c>
      <c r="D169" s="193"/>
      <c r="E169" s="193"/>
    </row>
    <row r="170" spans="2:5" ht="72" hidden="1" x14ac:dyDescent="0.3">
      <c r="B170" s="182" t="s">
        <v>177</v>
      </c>
      <c r="C170" s="182" t="s">
        <v>191</v>
      </c>
      <c r="D170" s="193"/>
      <c r="E170" s="193"/>
    </row>
    <row r="171" spans="2:5" ht="72" hidden="1" x14ac:dyDescent="0.3">
      <c r="B171" s="181" t="s">
        <v>177</v>
      </c>
      <c r="C171" s="181" t="s">
        <v>191</v>
      </c>
      <c r="D171" s="193"/>
      <c r="E171" s="193"/>
    </row>
    <row r="172" spans="2:5" ht="72" hidden="1" x14ac:dyDescent="0.3">
      <c r="B172" s="182" t="s">
        <v>177</v>
      </c>
      <c r="C172" s="182" t="s">
        <v>191</v>
      </c>
      <c r="D172" s="193"/>
      <c r="E172" s="193"/>
    </row>
    <row r="173" spans="2:5" ht="72" hidden="1" x14ac:dyDescent="0.3">
      <c r="B173" s="212" t="s">
        <v>177</v>
      </c>
      <c r="C173" s="212" t="s">
        <v>191</v>
      </c>
      <c r="D173" s="193"/>
      <c r="E173" s="193"/>
    </row>
    <row r="174" spans="2:5" ht="115.2" x14ac:dyDescent="0.3">
      <c r="B174" s="182" t="s">
        <v>67</v>
      </c>
      <c r="C174" s="182" t="s">
        <v>197</v>
      </c>
      <c r="D174" s="240">
        <v>0</v>
      </c>
      <c r="E174" s="224" t="s">
        <v>331</v>
      </c>
    </row>
    <row r="175" spans="2:5" ht="115.2" hidden="1" x14ac:dyDescent="0.3">
      <c r="B175" s="214" t="s">
        <v>67</v>
      </c>
      <c r="C175" s="214" t="s">
        <v>197</v>
      </c>
      <c r="D175" s="193"/>
      <c r="E175" s="193"/>
    </row>
    <row r="176" spans="2:5" ht="115.2" hidden="1" x14ac:dyDescent="0.3">
      <c r="B176" s="182" t="s">
        <v>67</v>
      </c>
      <c r="C176" s="182" t="s">
        <v>197</v>
      </c>
      <c r="D176" s="193"/>
      <c r="E176" s="193"/>
    </row>
    <row r="177" spans="2:5" ht="115.2" hidden="1" x14ac:dyDescent="0.3">
      <c r="B177" s="181" t="s">
        <v>67</v>
      </c>
      <c r="C177" s="181" t="s">
        <v>197</v>
      </c>
      <c r="D177" s="193"/>
      <c r="E177" s="193"/>
    </row>
    <row r="178" spans="2:5" ht="115.2" hidden="1" x14ac:dyDescent="0.3">
      <c r="B178" s="182" t="s">
        <v>67</v>
      </c>
      <c r="C178" s="182" t="s">
        <v>197</v>
      </c>
      <c r="D178" s="193"/>
      <c r="E178" s="193"/>
    </row>
    <row r="179" spans="2:5" ht="115.2" hidden="1" x14ac:dyDescent="0.3">
      <c r="B179" s="181" t="s">
        <v>67</v>
      </c>
      <c r="C179" s="181" t="s">
        <v>197</v>
      </c>
      <c r="D179" s="193"/>
      <c r="E179" s="193"/>
    </row>
    <row r="180" spans="2:5" ht="115.2" hidden="1" x14ac:dyDescent="0.3">
      <c r="B180" s="192" t="s">
        <v>67</v>
      </c>
      <c r="C180" s="192" t="s">
        <v>197</v>
      </c>
      <c r="D180" s="193"/>
      <c r="E180" s="193"/>
    </row>
    <row r="181" spans="2:5" ht="43.2" x14ac:dyDescent="0.3">
      <c r="B181" s="181" t="s">
        <v>175</v>
      </c>
      <c r="C181" s="181" t="s">
        <v>202</v>
      </c>
      <c r="D181" s="240">
        <v>0</v>
      </c>
      <c r="E181" s="224" t="s">
        <v>329</v>
      </c>
    </row>
    <row r="182" spans="2:5" ht="43.2" hidden="1" x14ac:dyDescent="0.3">
      <c r="B182" s="213" t="s">
        <v>175</v>
      </c>
      <c r="C182" s="213" t="s">
        <v>202</v>
      </c>
      <c r="D182" s="193"/>
      <c r="E182" s="193"/>
    </row>
    <row r="183" spans="2:5" ht="43.2" hidden="1" x14ac:dyDescent="0.3">
      <c r="B183" s="181" t="s">
        <v>175</v>
      </c>
      <c r="C183" s="181" t="s">
        <v>202</v>
      </c>
      <c r="D183" s="193"/>
      <c r="E183" s="193"/>
    </row>
    <row r="184" spans="2:5" ht="43.2" hidden="1" x14ac:dyDescent="0.3">
      <c r="B184" s="182" t="s">
        <v>175</v>
      </c>
      <c r="C184" s="182" t="s">
        <v>202</v>
      </c>
      <c r="D184" s="193"/>
      <c r="E184" s="193"/>
    </row>
    <row r="185" spans="2:5" ht="43.2" hidden="1" x14ac:dyDescent="0.3">
      <c r="B185" s="181" t="s">
        <v>175</v>
      </c>
      <c r="C185" s="181" t="s">
        <v>202</v>
      </c>
      <c r="D185" s="193"/>
      <c r="E185" s="193"/>
    </row>
    <row r="186" spans="2:5" ht="43.2" hidden="1" x14ac:dyDescent="0.3">
      <c r="B186" s="182" t="s">
        <v>175</v>
      </c>
      <c r="C186" s="182" t="s">
        <v>202</v>
      </c>
      <c r="D186" s="193"/>
      <c r="E186" s="193"/>
    </row>
    <row r="187" spans="2:5" ht="43.2" hidden="1" x14ac:dyDescent="0.3">
      <c r="B187" s="181" t="s">
        <v>175</v>
      </c>
      <c r="C187" s="181" t="s">
        <v>202</v>
      </c>
      <c r="D187" s="193"/>
      <c r="E187" s="193"/>
    </row>
    <row r="188" spans="2:5" ht="43.2" hidden="1" x14ac:dyDescent="0.3">
      <c r="B188" s="182" t="s">
        <v>175</v>
      </c>
      <c r="C188" s="182" t="s">
        <v>202</v>
      </c>
      <c r="D188" s="193"/>
      <c r="E188" s="193"/>
    </row>
    <row r="189" spans="2:5" ht="43.2" hidden="1" x14ac:dyDescent="0.3">
      <c r="B189" s="212" t="s">
        <v>175</v>
      </c>
      <c r="C189" s="212" t="s">
        <v>202</v>
      </c>
      <c r="D189" s="193"/>
      <c r="E189" s="193"/>
    </row>
    <row r="190" spans="2:5" ht="86.4" x14ac:dyDescent="0.3">
      <c r="B190" s="182" t="s">
        <v>68</v>
      </c>
      <c r="C190" s="182" t="s">
        <v>207</v>
      </c>
      <c r="D190" s="240">
        <v>0</v>
      </c>
      <c r="E190" s="224" t="s">
        <v>329</v>
      </c>
    </row>
    <row r="191" spans="2:5" ht="86.4" hidden="1" x14ac:dyDescent="0.3">
      <c r="B191" s="214" t="s">
        <v>68</v>
      </c>
      <c r="C191" s="214" t="s">
        <v>207</v>
      </c>
      <c r="D191" s="193"/>
      <c r="E191" s="193"/>
    </row>
    <row r="192" spans="2:5" ht="86.4" hidden="1" x14ac:dyDescent="0.3">
      <c r="B192" s="182" t="s">
        <v>68</v>
      </c>
      <c r="C192" s="182" t="s">
        <v>207</v>
      </c>
      <c r="D192" s="193"/>
      <c r="E192" s="193"/>
    </row>
    <row r="193" spans="2:5" ht="86.4" hidden="1" x14ac:dyDescent="0.3">
      <c r="B193" s="181" t="s">
        <v>68</v>
      </c>
      <c r="C193" s="181" t="s">
        <v>207</v>
      </c>
      <c r="D193" s="193"/>
      <c r="E193" s="193"/>
    </row>
    <row r="194" spans="2:5" ht="86.4" hidden="1" x14ac:dyDescent="0.3">
      <c r="B194" s="182" t="s">
        <v>68</v>
      </c>
      <c r="C194" s="182" t="s">
        <v>207</v>
      </c>
      <c r="D194" s="193"/>
      <c r="E194" s="193"/>
    </row>
    <row r="195" spans="2:5" ht="86.4" hidden="1" x14ac:dyDescent="0.3">
      <c r="B195" s="181" t="s">
        <v>68</v>
      </c>
      <c r="C195" s="181" t="s">
        <v>207</v>
      </c>
      <c r="D195" s="193"/>
      <c r="E195" s="193"/>
    </row>
    <row r="196" spans="2:5" ht="86.4" hidden="1" x14ac:dyDescent="0.3">
      <c r="B196" s="182" t="s">
        <v>68</v>
      </c>
      <c r="C196" s="182" t="s">
        <v>207</v>
      </c>
      <c r="D196" s="193"/>
      <c r="E196" s="193"/>
    </row>
    <row r="197" spans="2:5" ht="86.4" hidden="1" x14ac:dyDescent="0.3">
      <c r="B197" s="181" t="s">
        <v>68</v>
      </c>
      <c r="C197" s="181" t="s">
        <v>207</v>
      </c>
      <c r="D197" s="193"/>
      <c r="E197" s="193"/>
    </row>
    <row r="198" spans="2:5" ht="86.4" hidden="1" x14ac:dyDescent="0.3">
      <c r="B198" s="182" t="s">
        <v>68</v>
      </c>
      <c r="C198" s="182" t="s">
        <v>207</v>
      </c>
      <c r="D198" s="193"/>
      <c r="E198" s="193"/>
    </row>
    <row r="199" spans="2:5" ht="86.4" hidden="1" x14ac:dyDescent="0.3">
      <c r="B199" s="181" t="s">
        <v>68</v>
      </c>
      <c r="C199" s="181" t="s">
        <v>207</v>
      </c>
      <c r="D199" s="193"/>
      <c r="E199" s="193"/>
    </row>
    <row r="200" spans="2:5" ht="86.4" hidden="1" x14ac:dyDescent="0.3">
      <c r="B200" s="182" t="s">
        <v>68</v>
      </c>
      <c r="C200" s="182" t="s">
        <v>207</v>
      </c>
      <c r="D200" s="193"/>
      <c r="E200" s="193"/>
    </row>
    <row r="201" spans="2:5" ht="86.4" hidden="1" x14ac:dyDescent="0.3">
      <c r="B201" s="181" t="s">
        <v>68</v>
      </c>
      <c r="C201" s="181" t="s">
        <v>207</v>
      </c>
      <c r="D201" s="193"/>
      <c r="E201" s="193"/>
    </row>
    <row r="202" spans="2:5" ht="86.4" hidden="1" x14ac:dyDescent="0.3">
      <c r="B202" s="182" t="s">
        <v>68</v>
      </c>
      <c r="C202" s="182" t="s">
        <v>207</v>
      </c>
      <c r="D202" s="193"/>
      <c r="E202" s="193"/>
    </row>
    <row r="203" spans="2:5" ht="86.4" hidden="1" x14ac:dyDescent="0.3">
      <c r="B203" s="181" t="s">
        <v>68</v>
      </c>
      <c r="C203" s="181" t="s">
        <v>207</v>
      </c>
      <c r="D203" s="193"/>
      <c r="E203" s="193"/>
    </row>
    <row r="204" spans="2:5" ht="86.4" hidden="1" x14ac:dyDescent="0.3">
      <c r="B204" s="182" t="s">
        <v>68</v>
      </c>
      <c r="C204" s="182" t="s">
        <v>207</v>
      </c>
      <c r="D204" s="193"/>
      <c r="E204" s="193"/>
    </row>
    <row r="205" spans="2:5" ht="86.4" hidden="1" x14ac:dyDescent="0.3">
      <c r="B205" s="212" t="s">
        <v>68</v>
      </c>
      <c r="C205" s="212" t="s">
        <v>207</v>
      </c>
      <c r="D205" s="193"/>
      <c r="E205" s="193"/>
    </row>
    <row r="206" spans="2:5" ht="28.8" x14ac:dyDescent="0.3">
      <c r="B206" s="192" t="s">
        <v>215</v>
      </c>
      <c r="C206" s="192" t="s">
        <v>220</v>
      </c>
      <c r="D206" s="227">
        <v>0</v>
      </c>
      <c r="E206" s="228" t="s">
        <v>330</v>
      </c>
    </row>
    <row r="207" spans="2:5" ht="28.8" hidden="1" x14ac:dyDescent="0.3">
      <c r="B207" s="181" t="s">
        <v>215</v>
      </c>
      <c r="C207" s="214" t="s">
        <v>220</v>
      </c>
      <c r="D207" s="193"/>
      <c r="E207" s="193"/>
    </row>
    <row r="208" spans="2:5" ht="28.8" hidden="1" x14ac:dyDescent="0.3">
      <c r="B208" s="182" t="s">
        <v>215</v>
      </c>
      <c r="C208" s="182" t="s">
        <v>220</v>
      </c>
      <c r="D208" s="193"/>
      <c r="E208" s="193"/>
    </row>
    <row r="209" spans="1:5" ht="28.8" hidden="1" x14ac:dyDescent="0.3">
      <c r="B209" s="181" t="s">
        <v>215</v>
      </c>
      <c r="C209" s="181" t="s">
        <v>220</v>
      </c>
      <c r="D209" s="193"/>
      <c r="E209" s="193"/>
    </row>
    <row r="210" spans="1:5" ht="28.8" hidden="1" x14ac:dyDescent="0.3">
      <c r="B210" s="182" t="s">
        <v>215</v>
      </c>
      <c r="C210" s="182" t="s">
        <v>220</v>
      </c>
      <c r="D210" s="193"/>
      <c r="E210" s="193"/>
    </row>
    <row r="211" spans="1:5" ht="28.8" hidden="1" x14ac:dyDescent="0.3">
      <c r="B211" s="212" t="s">
        <v>215</v>
      </c>
      <c r="C211" s="212" t="s">
        <v>220</v>
      </c>
      <c r="D211" s="216"/>
      <c r="E211" s="216"/>
    </row>
    <row r="213" spans="1:5" x14ac:dyDescent="0.3">
      <c r="A213" s="123" t="s">
        <v>317</v>
      </c>
    </row>
    <row r="215" spans="1:5" x14ac:dyDescent="0.3">
      <c r="B215" s="197" t="s">
        <v>273</v>
      </c>
      <c r="C215" s="197" t="s">
        <v>265</v>
      </c>
      <c r="D215" s="229" t="s">
        <v>299</v>
      </c>
      <c r="E215" s="191" t="s">
        <v>295</v>
      </c>
    </row>
    <row r="216" spans="1:5" ht="86.4" x14ac:dyDescent="0.3">
      <c r="B216" s="205" t="s">
        <v>163</v>
      </c>
      <c r="C216" s="181" t="s">
        <v>185</v>
      </c>
      <c r="D216" s="241"/>
      <c r="E216" s="238" t="s">
        <v>334</v>
      </c>
    </row>
    <row r="217" spans="1:5" hidden="1" x14ac:dyDescent="0.3">
      <c r="B217" s="98" t="s">
        <v>163</v>
      </c>
      <c r="C217" s="99" t="s">
        <v>185</v>
      </c>
      <c r="D217" s="242"/>
      <c r="E217" s="223"/>
    </row>
    <row r="218" spans="1:5" hidden="1" x14ac:dyDescent="0.3">
      <c r="B218" s="175" t="s">
        <v>163</v>
      </c>
      <c r="C218" s="194" t="s">
        <v>185</v>
      </c>
      <c r="D218" s="242"/>
      <c r="E218" s="223"/>
    </row>
    <row r="219" spans="1:5" hidden="1" x14ac:dyDescent="0.3">
      <c r="B219" s="98" t="s">
        <v>163</v>
      </c>
      <c r="C219" s="99" t="s">
        <v>185</v>
      </c>
      <c r="D219" s="242"/>
      <c r="E219" s="223"/>
    </row>
    <row r="220" spans="1:5" hidden="1" x14ac:dyDescent="0.3">
      <c r="B220" s="175" t="s">
        <v>163</v>
      </c>
      <c r="C220" s="194" t="s">
        <v>185</v>
      </c>
      <c r="D220" s="242"/>
      <c r="E220" s="223"/>
    </row>
    <row r="221" spans="1:5" hidden="1" x14ac:dyDescent="0.3">
      <c r="B221" s="98" t="s">
        <v>163</v>
      </c>
      <c r="C221" s="99" t="s">
        <v>185</v>
      </c>
      <c r="D221" s="242"/>
      <c r="E221" s="223"/>
    </row>
    <row r="222" spans="1:5" hidden="1" x14ac:dyDescent="0.3">
      <c r="B222" s="175" t="s">
        <v>163</v>
      </c>
      <c r="C222" s="194" t="s">
        <v>185</v>
      </c>
      <c r="D222" s="242"/>
      <c r="E222" s="223"/>
    </row>
    <row r="223" spans="1:5" hidden="1" x14ac:dyDescent="0.3">
      <c r="B223" s="98" t="s">
        <v>163</v>
      </c>
      <c r="C223" s="99" t="s">
        <v>185</v>
      </c>
      <c r="D223" s="242"/>
      <c r="E223" s="223"/>
    </row>
    <row r="224" spans="1:5" ht="72" x14ac:dyDescent="0.3">
      <c r="B224" s="181" t="s">
        <v>177</v>
      </c>
      <c r="C224" s="181" t="s">
        <v>192</v>
      </c>
      <c r="D224" s="241"/>
      <c r="E224" s="223"/>
    </row>
    <row r="225" spans="2:5" hidden="1" x14ac:dyDescent="0.3">
      <c r="B225" s="176" t="s">
        <v>177</v>
      </c>
      <c r="C225" s="99" t="s">
        <v>192</v>
      </c>
      <c r="D225" s="242"/>
      <c r="E225" s="223"/>
    </row>
    <row r="226" spans="2:5" hidden="1" x14ac:dyDescent="0.3">
      <c r="B226" s="174" t="s">
        <v>177</v>
      </c>
      <c r="C226" s="194" t="s">
        <v>192</v>
      </c>
      <c r="D226" s="242"/>
      <c r="E226" s="223"/>
    </row>
    <row r="227" spans="2:5" hidden="1" x14ac:dyDescent="0.3">
      <c r="B227" s="176" t="s">
        <v>177</v>
      </c>
      <c r="C227" s="99" t="s">
        <v>192</v>
      </c>
      <c r="D227" s="242"/>
      <c r="E227" s="223"/>
    </row>
    <row r="228" spans="2:5" hidden="1" x14ac:dyDescent="0.3">
      <c r="B228" s="174" t="s">
        <v>177</v>
      </c>
      <c r="C228" s="194" t="s">
        <v>192</v>
      </c>
      <c r="D228" s="242"/>
      <c r="E228" s="223"/>
    </row>
    <row r="229" spans="2:5" hidden="1" x14ac:dyDescent="0.3">
      <c r="B229" s="176" t="s">
        <v>177</v>
      </c>
      <c r="C229" s="99" t="s">
        <v>192</v>
      </c>
      <c r="D229" s="242"/>
      <c r="E229" s="223"/>
    </row>
    <row r="230" spans="2:5" hidden="1" x14ac:dyDescent="0.3">
      <c r="B230" s="174" t="s">
        <v>177</v>
      </c>
      <c r="C230" s="194" t="s">
        <v>192</v>
      </c>
      <c r="D230" s="242"/>
      <c r="E230" s="223"/>
    </row>
    <row r="231" spans="2:5" hidden="1" x14ac:dyDescent="0.3">
      <c r="B231" s="176" t="s">
        <v>177</v>
      </c>
      <c r="C231" s="99" t="s">
        <v>192</v>
      </c>
      <c r="D231" s="242"/>
      <c r="E231" s="223"/>
    </row>
    <row r="232" spans="2:5" hidden="1" x14ac:dyDescent="0.3">
      <c r="B232" s="174" t="s">
        <v>177</v>
      </c>
      <c r="C232" s="194" t="s">
        <v>192</v>
      </c>
      <c r="D232" s="242"/>
      <c r="E232" s="223"/>
    </row>
    <row r="233" spans="2:5" hidden="1" x14ac:dyDescent="0.3">
      <c r="B233" s="176" t="s">
        <v>177</v>
      </c>
      <c r="C233" s="99" t="s">
        <v>192</v>
      </c>
      <c r="D233" s="242"/>
      <c r="E233" s="223"/>
    </row>
    <row r="234" spans="2:5" hidden="1" x14ac:dyDescent="0.3">
      <c r="B234" s="174" t="s">
        <v>177</v>
      </c>
      <c r="C234" s="194" t="s">
        <v>192</v>
      </c>
      <c r="D234" s="242"/>
      <c r="E234" s="223"/>
    </row>
    <row r="235" spans="2:5" hidden="1" x14ac:dyDescent="0.3">
      <c r="B235" s="176" t="s">
        <v>177</v>
      </c>
      <c r="C235" s="99" t="s">
        <v>192</v>
      </c>
      <c r="D235" s="242"/>
      <c r="E235" s="223"/>
    </row>
    <row r="236" spans="2:5" hidden="1" x14ac:dyDescent="0.3">
      <c r="B236" s="174" t="s">
        <v>177</v>
      </c>
      <c r="C236" s="194" t="s">
        <v>192</v>
      </c>
      <c r="D236" s="242"/>
      <c r="E236" s="223"/>
    </row>
    <row r="237" spans="2:5" hidden="1" x14ac:dyDescent="0.3">
      <c r="B237" s="176" t="s">
        <v>177</v>
      </c>
      <c r="C237" s="99" t="s">
        <v>192</v>
      </c>
      <c r="D237" s="242"/>
      <c r="E237" s="223"/>
    </row>
    <row r="238" spans="2:5" hidden="1" x14ac:dyDescent="0.3">
      <c r="B238" s="174" t="s">
        <v>177</v>
      </c>
      <c r="C238" s="194" t="s">
        <v>192</v>
      </c>
      <c r="D238" s="242"/>
      <c r="E238" s="223"/>
    </row>
    <row r="239" spans="2:5" hidden="1" x14ac:dyDescent="0.3">
      <c r="B239" s="176" t="s">
        <v>177</v>
      </c>
      <c r="C239" s="99" t="s">
        <v>192</v>
      </c>
      <c r="D239" s="242"/>
      <c r="E239" s="223"/>
    </row>
    <row r="240" spans="2:5" hidden="1" x14ac:dyDescent="0.3">
      <c r="B240" s="174" t="s">
        <v>177</v>
      </c>
      <c r="C240" s="194" t="s">
        <v>192</v>
      </c>
      <c r="D240" s="242"/>
      <c r="E240" s="223"/>
    </row>
    <row r="241" spans="2:5" ht="57.6" x14ac:dyDescent="0.3">
      <c r="B241" s="182" t="s">
        <v>67</v>
      </c>
      <c r="C241" s="182" t="s">
        <v>198</v>
      </c>
      <c r="D241" s="241"/>
      <c r="E241" s="223"/>
    </row>
    <row r="242" spans="2:5" hidden="1" x14ac:dyDescent="0.3">
      <c r="B242" s="174" t="s">
        <v>67</v>
      </c>
      <c r="C242" s="194" t="s">
        <v>198</v>
      </c>
      <c r="D242" s="242"/>
      <c r="E242" s="223"/>
    </row>
    <row r="243" spans="2:5" hidden="1" x14ac:dyDescent="0.3">
      <c r="B243" s="176" t="s">
        <v>67</v>
      </c>
      <c r="C243" s="99" t="s">
        <v>198</v>
      </c>
      <c r="D243" s="242"/>
      <c r="E243" s="223"/>
    </row>
    <row r="244" spans="2:5" hidden="1" x14ac:dyDescent="0.3">
      <c r="B244" s="174" t="s">
        <v>67</v>
      </c>
      <c r="C244" s="194" t="s">
        <v>198</v>
      </c>
      <c r="D244" s="242"/>
      <c r="E244" s="223"/>
    </row>
    <row r="245" spans="2:5" hidden="1" x14ac:dyDescent="0.3">
      <c r="B245" s="176" t="s">
        <v>67</v>
      </c>
      <c r="C245" s="99" t="s">
        <v>198</v>
      </c>
      <c r="D245" s="242"/>
      <c r="E245" s="223"/>
    </row>
    <row r="246" spans="2:5" hidden="1" x14ac:dyDescent="0.3">
      <c r="B246" s="174" t="s">
        <v>67</v>
      </c>
      <c r="C246" s="194" t="s">
        <v>198</v>
      </c>
      <c r="D246" s="242"/>
      <c r="E246" s="223"/>
    </row>
    <row r="247" spans="2:5" hidden="1" x14ac:dyDescent="0.3">
      <c r="B247" s="176" t="s">
        <v>67</v>
      </c>
      <c r="C247" s="99" t="s">
        <v>198</v>
      </c>
      <c r="D247" s="242"/>
      <c r="E247" s="223"/>
    </row>
    <row r="248" spans="2:5" ht="57.6" x14ac:dyDescent="0.3">
      <c r="B248" s="181" t="s">
        <v>175</v>
      </c>
      <c r="C248" s="181" t="s">
        <v>203</v>
      </c>
      <c r="D248" s="241"/>
      <c r="E248" s="223"/>
    </row>
    <row r="249" spans="2:5" hidden="1" x14ac:dyDescent="0.3">
      <c r="B249" s="176" t="s">
        <v>175</v>
      </c>
      <c r="C249" s="99" t="s">
        <v>203</v>
      </c>
      <c r="D249" s="242"/>
      <c r="E249" s="223"/>
    </row>
    <row r="250" spans="2:5" hidden="1" x14ac:dyDescent="0.3">
      <c r="B250" s="174" t="s">
        <v>175</v>
      </c>
      <c r="C250" s="194" t="s">
        <v>203</v>
      </c>
      <c r="D250" s="242"/>
      <c r="E250" s="223"/>
    </row>
    <row r="251" spans="2:5" hidden="1" x14ac:dyDescent="0.3">
      <c r="B251" s="176" t="s">
        <v>175</v>
      </c>
      <c r="C251" s="99" t="s">
        <v>203</v>
      </c>
      <c r="D251" s="242"/>
      <c r="E251" s="223"/>
    </row>
    <row r="252" spans="2:5" hidden="1" x14ac:dyDescent="0.3">
      <c r="B252" s="174" t="s">
        <v>175</v>
      </c>
      <c r="C252" s="194" t="s">
        <v>203</v>
      </c>
      <c r="D252" s="242"/>
      <c r="E252" s="223"/>
    </row>
    <row r="253" spans="2:5" hidden="1" x14ac:dyDescent="0.3">
      <c r="B253" s="176" t="s">
        <v>175</v>
      </c>
      <c r="C253" s="99" t="s">
        <v>203</v>
      </c>
      <c r="D253" s="242"/>
      <c r="E253" s="223"/>
    </row>
    <row r="254" spans="2:5" hidden="1" x14ac:dyDescent="0.3">
      <c r="B254" s="174" t="s">
        <v>175</v>
      </c>
      <c r="C254" s="194" t="s">
        <v>203</v>
      </c>
      <c r="D254" s="242"/>
      <c r="E254" s="223"/>
    </row>
    <row r="255" spans="2:5" hidden="1" x14ac:dyDescent="0.3">
      <c r="B255" s="176" t="s">
        <v>175</v>
      </c>
      <c r="C255" s="99" t="s">
        <v>203</v>
      </c>
      <c r="D255" s="242"/>
      <c r="E255" s="223"/>
    </row>
    <row r="256" spans="2:5" hidden="1" x14ac:dyDescent="0.3">
      <c r="B256" s="174" t="s">
        <v>175</v>
      </c>
      <c r="C256" s="194" t="s">
        <v>203</v>
      </c>
      <c r="D256" s="242"/>
      <c r="E256" s="223"/>
    </row>
    <row r="257" spans="2:5" ht="43.2" x14ac:dyDescent="0.3">
      <c r="B257" s="182" t="s">
        <v>68</v>
      </c>
      <c r="C257" s="182" t="s">
        <v>208</v>
      </c>
      <c r="D257" s="241"/>
      <c r="E257" s="223"/>
    </row>
    <row r="258" spans="2:5" hidden="1" x14ac:dyDescent="0.3">
      <c r="B258" s="174" t="s">
        <v>68</v>
      </c>
      <c r="C258" s="194" t="s">
        <v>208</v>
      </c>
      <c r="D258" s="242"/>
      <c r="E258" s="223"/>
    </row>
    <row r="259" spans="2:5" hidden="1" x14ac:dyDescent="0.3">
      <c r="B259" s="176" t="s">
        <v>68</v>
      </c>
      <c r="C259" s="99" t="s">
        <v>208</v>
      </c>
      <c r="D259" s="242"/>
      <c r="E259" s="223"/>
    </row>
    <row r="260" spans="2:5" hidden="1" x14ac:dyDescent="0.3">
      <c r="B260" s="174" t="s">
        <v>68</v>
      </c>
      <c r="C260" s="194" t="s">
        <v>208</v>
      </c>
      <c r="D260" s="242"/>
      <c r="E260" s="223"/>
    </row>
    <row r="261" spans="2:5" hidden="1" x14ac:dyDescent="0.3">
      <c r="B261" s="176" t="s">
        <v>68</v>
      </c>
      <c r="C261" s="99" t="s">
        <v>208</v>
      </c>
      <c r="D261" s="242"/>
      <c r="E261" s="223"/>
    </row>
    <row r="262" spans="2:5" hidden="1" x14ac:dyDescent="0.3">
      <c r="B262" s="174" t="s">
        <v>68</v>
      </c>
      <c r="C262" s="194" t="s">
        <v>208</v>
      </c>
      <c r="D262" s="242"/>
      <c r="E262" s="223"/>
    </row>
    <row r="263" spans="2:5" hidden="1" x14ac:dyDescent="0.3">
      <c r="B263" s="176" t="s">
        <v>68</v>
      </c>
      <c r="C263" s="99" t="s">
        <v>208</v>
      </c>
      <c r="D263" s="242"/>
      <c r="E263" s="223"/>
    </row>
    <row r="264" spans="2:5" hidden="1" x14ac:dyDescent="0.3">
      <c r="B264" s="174" t="s">
        <v>68</v>
      </c>
      <c r="C264" s="194" t="s">
        <v>208</v>
      </c>
      <c r="D264" s="242"/>
      <c r="E264" s="223"/>
    </row>
    <row r="265" spans="2:5" hidden="1" x14ac:dyDescent="0.3">
      <c r="B265" s="176" t="s">
        <v>68</v>
      </c>
      <c r="C265" s="99" t="s">
        <v>208</v>
      </c>
      <c r="D265" s="242"/>
      <c r="E265" s="223"/>
    </row>
    <row r="266" spans="2:5" hidden="1" x14ac:dyDescent="0.3">
      <c r="B266" s="174" t="s">
        <v>68</v>
      </c>
      <c r="C266" s="194" t="s">
        <v>208</v>
      </c>
      <c r="D266" s="242"/>
      <c r="E266" s="223"/>
    </row>
    <row r="267" spans="2:5" hidden="1" x14ac:dyDescent="0.3">
      <c r="B267" s="176" t="s">
        <v>68</v>
      </c>
      <c r="C267" s="99" t="s">
        <v>208</v>
      </c>
      <c r="D267" s="242"/>
      <c r="E267" s="223"/>
    </row>
    <row r="268" spans="2:5" hidden="1" x14ac:dyDescent="0.3">
      <c r="B268" s="174" t="s">
        <v>68</v>
      </c>
      <c r="C268" s="194" t="s">
        <v>208</v>
      </c>
      <c r="D268" s="242"/>
      <c r="E268" s="223"/>
    </row>
    <row r="269" spans="2:5" hidden="1" x14ac:dyDescent="0.3">
      <c r="B269" s="176" t="s">
        <v>68</v>
      </c>
      <c r="C269" s="99" t="s">
        <v>208</v>
      </c>
      <c r="D269" s="242"/>
      <c r="E269" s="223"/>
    </row>
    <row r="270" spans="2:5" hidden="1" x14ac:dyDescent="0.3">
      <c r="B270" s="174" t="s">
        <v>68</v>
      </c>
      <c r="C270" s="194" t="s">
        <v>208</v>
      </c>
      <c r="D270" s="242"/>
      <c r="E270" s="223"/>
    </row>
    <row r="271" spans="2:5" hidden="1" x14ac:dyDescent="0.3">
      <c r="B271" s="176" t="s">
        <v>68</v>
      </c>
      <c r="C271" s="99" t="s">
        <v>208</v>
      </c>
      <c r="D271" s="242"/>
      <c r="E271" s="223"/>
    </row>
    <row r="272" spans="2:5" hidden="1" x14ac:dyDescent="0.3">
      <c r="B272" s="174" t="s">
        <v>68</v>
      </c>
      <c r="C272" s="194" t="s">
        <v>208</v>
      </c>
      <c r="D272" s="242"/>
      <c r="E272" s="223"/>
    </row>
    <row r="273" spans="1:5" ht="28.8" x14ac:dyDescent="0.3">
      <c r="B273" s="182" t="s">
        <v>215</v>
      </c>
      <c r="C273" s="182" t="s">
        <v>220</v>
      </c>
      <c r="D273" s="241"/>
      <c r="E273" s="223"/>
    </row>
    <row r="274" spans="1:5" hidden="1" x14ac:dyDescent="0.3">
      <c r="B274" s="174" t="s">
        <v>215</v>
      </c>
      <c r="C274" s="194" t="s">
        <v>220</v>
      </c>
      <c r="D274" s="122"/>
    </row>
    <row r="275" spans="1:5" hidden="1" x14ac:dyDescent="0.3">
      <c r="B275" s="176" t="s">
        <v>215</v>
      </c>
      <c r="C275" s="99" t="s">
        <v>220</v>
      </c>
      <c r="D275" s="122"/>
    </row>
    <row r="276" spans="1:5" hidden="1" x14ac:dyDescent="0.3">
      <c r="B276" s="174" t="s">
        <v>215</v>
      </c>
      <c r="C276" s="194" t="s">
        <v>220</v>
      </c>
      <c r="D276" s="122"/>
    </row>
    <row r="277" spans="1:5" hidden="1" x14ac:dyDescent="0.3">
      <c r="B277" s="176" t="s">
        <v>215</v>
      </c>
      <c r="C277" s="99" t="s">
        <v>220</v>
      </c>
      <c r="D277" s="122"/>
    </row>
    <row r="278" spans="1:5" hidden="1" x14ac:dyDescent="0.3">
      <c r="B278" s="199" t="s">
        <v>215</v>
      </c>
      <c r="C278" s="217" t="s">
        <v>220</v>
      </c>
      <c r="D278" s="122"/>
    </row>
    <row r="280" spans="1:5" x14ac:dyDescent="0.3">
      <c r="A280" s="123" t="s">
        <v>318</v>
      </c>
    </row>
    <row r="282" spans="1:5" x14ac:dyDescent="0.3">
      <c r="B282" s="189" t="s">
        <v>273</v>
      </c>
      <c r="C282" s="189" t="s">
        <v>266</v>
      </c>
      <c r="D282" s="190" t="s">
        <v>300</v>
      </c>
      <c r="E282" s="191" t="s">
        <v>295</v>
      </c>
    </row>
    <row r="283" spans="1:5" ht="43.2" x14ac:dyDescent="0.3">
      <c r="B283" s="205" t="s">
        <v>163</v>
      </c>
      <c r="C283" s="181" t="s">
        <v>186</v>
      </c>
      <c r="D283" s="241"/>
      <c r="E283" s="223" t="s">
        <v>335</v>
      </c>
    </row>
    <row r="284" spans="1:5" hidden="1" x14ac:dyDescent="0.3">
      <c r="B284" s="175" t="s">
        <v>163</v>
      </c>
      <c r="C284" s="194" t="s">
        <v>186</v>
      </c>
    </row>
    <row r="285" spans="1:5" hidden="1" x14ac:dyDescent="0.3">
      <c r="B285" s="98" t="s">
        <v>163</v>
      </c>
      <c r="C285" s="99" t="s">
        <v>186</v>
      </c>
    </row>
    <row r="286" spans="1:5" hidden="1" x14ac:dyDescent="0.3">
      <c r="B286" s="175" t="s">
        <v>163</v>
      </c>
      <c r="C286" s="194" t="s">
        <v>186</v>
      </c>
    </row>
    <row r="287" spans="1:5" hidden="1" x14ac:dyDescent="0.3">
      <c r="B287" s="98" t="s">
        <v>163</v>
      </c>
      <c r="C287" s="99" t="s">
        <v>186</v>
      </c>
    </row>
    <row r="288" spans="1:5" hidden="1" x14ac:dyDescent="0.3">
      <c r="B288" s="175" t="s">
        <v>163</v>
      </c>
      <c r="C288" s="194" t="s">
        <v>186</v>
      </c>
    </row>
    <row r="289" spans="2:5" hidden="1" x14ac:dyDescent="0.3">
      <c r="B289" s="98" t="s">
        <v>163</v>
      </c>
      <c r="C289" s="99" t="s">
        <v>186</v>
      </c>
    </row>
    <row r="290" spans="2:5" ht="43.2" x14ac:dyDescent="0.3">
      <c r="B290" s="181" t="s">
        <v>177</v>
      </c>
      <c r="C290" s="181" t="s">
        <v>193</v>
      </c>
      <c r="D290" s="241"/>
      <c r="E290" s="223" t="s">
        <v>336</v>
      </c>
    </row>
    <row r="291" spans="2:5" hidden="1" x14ac:dyDescent="0.3">
      <c r="B291" s="176" t="s">
        <v>177</v>
      </c>
      <c r="C291" s="99" t="s">
        <v>193</v>
      </c>
    </row>
    <row r="292" spans="2:5" hidden="1" x14ac:dyDescent="0.3">
      <c r="B292" s="174" t="s">
        <v>177</v>
      </c>
      <c r="C292" s="194" t="s">
        <v>193</v>
      </c>
    </row>
    <row r="293" spans="2:5" hidden="1" x14ac:dyDescent="0.3">
      <c r="B293" s="176" t="s">
        <v>177</v>
      </c>
      <c r="C293" s="99" t="s">
        <v>193</v>
      </c>
    </row>
    <row r="294" spans="2:5" hidden="1" x14ac:dyDescent="0.3">
      <c r="B294" s="174" t="s">
        <v>177</v>
      </c>
      <c r="C294" s="194" t="s">
        <v>193</v>
      </c>
    </row>
    <row r="295" spans="2:5" hidden="1" x14ac:dyDescent="0.3">
      <c r="B295" s="176" t="s">
        <v>177</v>
      </c>
      <c r="C295" s="99" t="s">
        <v>193</v>
      </c>
    </row>
    <row r="296" spans="2:5" hidden="1" x14ac:dyDescent="0.3">
      <c r="B296" s="174" t="s">
        <v>177</v>
      </c>
      <c r="C296" s="194" t="s">
        <v>193</v>
      </c>
    </row>
    <row r="297" spans="2:5" hidden="1" x14ac:dyDescent="0.3">
      <c r="B297" s="176" t="s">
        <v>177</v>
      </c>
      <c r="C297" s="99" t="s">
        <v>193</v>
      </c>
    </row>
    <row r="298" spans="2:5" hidden="1" x14ac:dyDescent="0.3">
      <c r="B298" s="174" t="s">
        <v>177</v>
      </c>
      <c r="C298" s="194" t="s">
        <v>193</v>
      </c>
    </row>
    <row r="299" spans="2:5" hidden="1" x14ac:dyDescent="0.3">
      <c r="B299" s="176" t="s">
        <v>177</v>
      </c>
      <c r="C299" s="99" t="s">
        <v>193</v>
      </c>
    </row>
    <row r="300" spans="2:5" hidden="1" x14ac:dyDescent="0.3">
      <c r="B300" s="174" t="s">
        <v>177</v>
      </c>
      <c r="C300" s="194" t="s">
        <v>193</v>
      </c>
    </row>
    <row r="301" spans="2:5" hidden="1" x14ac:dyDescent="0.3">
      <c r="B301" s="176" t="s">
        <v>177</v>
      </c>
      <c r="C301" s="99" t="s">
        <v>193</v>
      </c>
    </row>
    <row r="302" spans="2:5" hidden="1" x14ac:dyDescent="0.3">
      <c r="B302" s="174" t="s">
        <v>177</v>
      </c>
      <c r="C302" s="194" t="s">
        <v>193</v>
      </c>
    </row>
    <row r="303" spans="2:5" hidden="1" x14ac:dyDescent="0.3">
      <c r="B303" s="176" t="s">
        <v>177</v>
      </c>
      <c r="C303" s="99" t="s">
        <v>193</v>
      </c>
    </row>
    <row r="304" spans="2:5" hidden="1" x14ac:dyDescent="0.3">
      <c r="B304" s="174" t="s">
        <v>177</v>
      </c>
      <c r="C304" s="194" t="s">
        <v>193</v>
      </c>
    </row>
    <row r="305" spans="2:5" hidden="1" x14ac:dyDescent="0.3">
      <c r="B305" s="176" t="s">
        <v>177</v>
      </c>
      <c r="C305" s="99" t="s">
        <v>193</v>
      </c>
    </row>
    <row r="306" spans="2:5" hidden="1" x14ac:dyDescent="0.3">
      <c r="B306" s="174" t="s">
        <v>177</v>
      </c>
      <c r="C306" s="194" t="s">
        <v>193</v>
      </c>
    </row>
    <row r="307" spans="2:5" x14ac:dyDescent="0.3">
      <c r="B307" s="182" t="s">
        <v>67</v>
      </c>
      <c r="C307" s="230" t="s">
        <v>82</v>
      </c>
      <c r="D307" s="222"/>
      <c r="E307" s="223" t="s">
        <v>337</v>
      </c>
    </row>
    <row r="308" spans="2:5" hidden="1" x14ac:dyDescent="0.3">
      <c r="B308" s="174" t="s">
        <v>67</v>
      </c>
      <c r="C308" s="178" t="s">
        <v>82</v>
      </c>
    </row>
    <row r="309" spans="2:5" hidden="1" x14ac:dyDescent="0.3">
      <c r="B309" s="176" t="s">
        <v>67</v>
      </c>
      <c r="C309" s="59" t="s">
        <v>82</v>
      </c>
    </row>
    <row r="310" spans="2:5" hidden="1" x14ac:dyDescent="0.3">
      <c r="B310" s="174" t="s">
        <v>67</v>
      </c>
      <c r="C310" s="178" t="s">
        <v>82</v>
      </c>
    </row>
    <row r="311" spans="2:5" hidden="1" x14ac:dyDescent="0.3">
      <c r="B311" s="176" t="s">
        <v>67</v>
      </c>
      <c r="C311" s="59" t="s">
        <v>82</v>
      </c>
    </row>
    <row r="312" spans="2:5" hidden="1" x14ac:dyDescent="0.3">
      <c r="B312" s="174" t="s">
        <v>67</v>
      </c>
      <c r="C312" s="178" t="s">
        <v>82</v>
      </c>
    </row>
    <row r="313" spans="2:5" hidden="1" x14ac:dyDescent="0.3">
      <c r="B313" s="176" t="s">
        <v>67</v>
      </c>
      <c r="C313" s="59" t="s">
        <v>82</v>
      </c>
    </row>
    <row r="314" spans="2:5" ht="28.8" x14ac:dyDescent="0.3">
      <c r="B314" s="181" t="s">
        <v>175</v>
      </c>
      <c r="C314" s="231" t="s">
        <v>82</v>
      </c>
      <c r="D314" s="222"/>
      <c r="E314" s="223"/>
    </row>
    <row r="315" spans="2:5" hidden="1" x14ac:dyDescent="0.3">
      <c r="B315" s="176" t="s">
        <v>175</v>
      </c>
      <c r="C315" s="59" t="s">
        <v>82</v>
      </c>
    </row>
    <row r="316" spans="2:5" hidden="1" x14ac:dyDescent="0.3">
      <c r="B316" s="174" t="s">
        <v>175</v>
      </c>
      <c r="C316" s="178" t="s">
        <v>82</v>
      </c>
    </row>
    <row r="317" spans="2:5" hidden="1" x14ac:dyDescent="0.3">
      <c r="B317" s="176" t="s">
        <v>175</v>
      </c>
      <c r="C317" s="59" t="s">
        <v>82</v>
      </c>
    </row>
    <row r="318" spans="2:5" hidden="1" x14ac:dyDescent="0.3">
      <c r="B318" s="174" t="s">
        <v>175</v>
      </c>
      <c r="C318" s="178" t="s">
        <v>82</v>
      </c>
    </row>
    <row r="319" spans="2:5" hidden="1" x14ac:dyDescent="0.3">
      <c r="B319" s="176" t="s">
        <v>175</v>
      </c>
      <c r="C319" s="59" t="s">
        <v>82</v>
      </c>
    </row>
    <row r="320" spans="2:5" hidden="1" x14ac:dyDescent="0.3">
      <c r="B320" s="174" t="s">
        <v>175</v>
      </c>
      <c r="C320" s="178" t="s">
        <v>82</v>
      </c>
    </row>
    <row r="321" spans="2:5" hidden="1" x14ac:dyDescent="0.3">
      <c r="B321" s="176" t="s">
        <v>175</v>
      </c>
      <c r="C321" s="59" t="s">
        <v>82</v>
      </c>
    </row>
    <row r="322" spans="2:5" hidden="1" x14ac:dyDescent="0.3">
      <c r="B322" s="174" t="s">
        <v>175</v>
      </c>
      <c r="C322" s="178" t="s">
        <v>82</v>
      </c>
    </row>
    <row r="323" spans="2:5" ht="43.2" x14ac:dyDescent="0.3">
      <c r="B323" s="182" t="s">
        <v>68</v>
      </c>
      <c r="C323" s="182" t="s">
        <v>82</v>
      </c>
      <c r="D323" s="222"/>
      <c r="E323" s="223"/>
    </row>
    <row r="324" spans="2:5" hidden="1" x14ac:dyDescent="0.3">
      <c r="B324" s="174" t="s">
        <v>68</v>
      </c>
      <c r="C324" s="174" t="s">
        <v>82</v>
      </c>
    </row>
    <row r="325" spans="2:5" hidden="1" x14ac:dyDescent="0.3">
      <c r="B325" s="176" t="s">
        <v>68</v>
      </c>
      <c r="C325" s="176" t="s">
        <v>82</v>
      </c>
    </row>
    <row r="326" spans="2:5" hidden="1" x14ac:dyDescent="0.3">
      <c r="B326" s="174" t="s">
        <v>68</v>
      </c>
      <c r="C326" s="174" t="s">
        <v>82</v>
      </c>
    </row>
    <row r="327" spans="2:5" hidden="1" x14ac:dyDescent="0.3">
      <c r="B327" s="176" t="s">
        <v>68</v>
      </c>
      <c r="C327" s="176" t="s">
        <v>82</v>
      </c>
    </row>
    <row r="328" spans="2:5" hidden="1" x14ac:dyDescent="0.3">
      <c r="B328" s="174" t="s">
        <v>68</v>
      </c>
      <c r="C328" s="174" t="s">
        <v>82</v>
      </c>
    </row>
    <row r="329" spans="2:5" hidden="1" x14ac:dyDescent="0.3">
      <c r="B329" s="176" t="s">
        <v>68</v>
      </c>
      <c r="C329" s="176" t="s">
        <v>82</v>
      </c>
    </row>
    <row r="330" spans="2:5" hidden="1" x14ac:dyDescent="0.3">
      <c r="B330" s="174" t="s">
        <v>68</v>
      </c>
      <c r="C330" s="174" t="s">
        <v>82</v>
      </c>
    </row>
    <row r="331" spans="2:5" hidden="1" x14ac:dyDescent="0.3">
      <c r="B331" s="176" t="s">
        <v>68</v>
      </c>
      <c r="C331" s="176" t="s">
        <v>82</v>
      </c>
    </row>
    <row r="332" spans="2:5" hidden="1" x14ac:dyDescent="0.3">
      <c r="B332" s="174" t="s">
        <v>68</v>
      </c>
      <c r="C332" s="174" t="s">
        <v>82</v>
      </c>
    </row>
    <row r="333" spans="2:5" hidden="1" x14ac:dyDescent="0.3">
      <c r="B333" s="176" t="s">
        <v>68</v>
      </c>
      <c r="C333" s="176" t="s">
        <v>82</v>
      </c>
    </row>
    <row r="334" spans="2:5" hidden="1" x14ac:dyDescent="0.3">
      <c r="B334" s="174" t="s">
        <v>68</v>
      </c>
      <c r="C334" s="174" t="s">
        <v>82</v>
      </c>
    </row>
    <row r="335" spans="2:5" hidden="1" x14ac:dyDescent="0.3">
      <c r="B335" s="176" t="s">
        <v>68</v>
      </c>
      <c r="C335" s="176" t="s">
        <v>82</v>
      </c>
    </row>
    <row r="336" spans="2:5" hidden="1" x14ac:dyDescent="0.3">
      <c r="B336" s="174" t="s">
        <v>68</v>
      </c>
      <c r="C336" s="174" t="s">
        <v>82</v>
      </c>
    </row>
    <row r="337" spans="1:5" hidden="1" x14ac:dyDescent="0.3">
      <c r="B337" s="176" t="s">
        <v>68</v>
      </c>
      <c r="C337" s="176" t="s">
        <v>82</v>
      </c>
    </row>
    <row r="338" spans="1:5" hidden="1" x14ac:dyDescent="0.3">
      <c r="B338" s="174" t="s">
        <v>68</v>
      </c>
      <c r="C338" s="174" t="s">
        <v>82</v>
      </c>
    </row>
    <row r="339" spans="1:5" ht="28.8" x14ac:dyDescent="0.3">
      <c r="B339" s="182" t="s">
        <v>215</v>
      </c>
      <c r="C339" s="182" t="s">
        <v>220</v>
      </c>
      <c r="D339" s="222"/>
      <c r="E339" s="223"/>
    </row>
    <row r="340" spans="1:5" hidden="1" x14ac:dyDescent="0.3">
      <c r="B340" s="174" t="s">
        <v>215</v>
      </c>
      <c r="C340" s="194" t="s">
        <v>220</v>
      </c>
    </row>
    <row r="341" spans="1:5" hidden="1" x14ac:dyDescent="0.3">
      <c r="B341" s="176" t="s">
        <v>215</v>
      </c>
      <c r="C341" s="99" t="s">
        <v>220</v>
      </c>
    </row>
    <row r="342" spans="1:5" hidden="1" x14ac:dyDescent="0.3">
      <c r="B342" s="174" t="s">
        <v>215</v>
      </c>
      <c r="C342" s="194" t="s">
        <v>220</v>
      </c>
    </row>
    <row r="343" spans="1:5" hidden="1" x14ac:dyDescent="0.3">
      <c r="B343" s="176" t="s">
        <v>215</v>
      </c>
      <c r="C343" s="99" t="s">
        <v>220</v>
      </c>
    </row>
    <row r="344" spans="1:5" hidden="1" x14ac:dyDescent="0.3">
      <c r="B344" s="199" t="s">
        <v>215</v>
      </c>
      <c r="C344" s="217" t="s">
        <v>220</v>
      </c>
    </row>
    <row r="346" spans="1:5" x14ac:dyDescent="0.3">
      <c r="A346" s="123" t="s">
        <v>319</v>
      </c>
    </row>
    <row r="348" spans="1:5" x14ac:dyDescent="0.3">
      <c r="A348" s="198"/>
      <c r="B348" s="189" t="s">
        <v>273</v>
      </c>
      <c r="C348" s="189" t="s">
        <v>267</v>
      </c>
      <c r="D348" s="189" t="s">
        <v>301</v>
      </c>
      <c r="E348" s="235" t="s">
        <v>295</v>
      </c>
    </row>
    <row r="349" spans="1:5" hidden="1" x14ac:dyDescent="0.3">
      <c r="B349" s="206" t="s">
        <v>163</v>
      </c>
      <c r="C349" s="233" t="s">
        <v>82</v>
      </c>
      <c r="D349" s="236"/>
      <c r="E349" s="236"/>
    </row>
    <row r="350" spans="1:5" hidden="1" x14ac:dyDescent="0.3">
      <c r="B350" s="205" t="s">
        <v>163</v>
      </c>
      <c r="C350" s="232" t="s">
        <v>82</v>
      </c>
      <c r="D350" s="236"/>
      <c r="E350" s="236"/>
    </row>
    <row r="351" spans="1:5" hidden="1" x14ac:dyDescent="0.3">
      <c r="B351" s="206" t="s">
        <v>163</v>
      </c>
      <c r="C351" s="233" t="s">
        <v>82</v>
      </c>
      <c r="D351" s="236"/>
      <c r="E351" s="236"/>
    </row>
    <row r="352" spans="1:5" hidden="1" x14ac:dyDescent="0.3">
      <c r="B352" s="205" t="s">
        <v>163</v>
      </c>
      <c r="C352" s="232" t="s">
        <v>82</v>
      </c>
      <c r="D352" s="236"/>
      <c r="E352" s="236"/>
    </row>
    <row r="353" spans="1:5" ht="43.2" x14ac:dyDescent="0.3">
      <c r="A353" s="163" t="s">
        <v>320</v>
      </c>
      <c r="B353" s="206" t="s">
        <v>163</v>
      </c>
      <c r="C353" s="234" t="s">
        <v>188</v>
      </c>
      <c r="D353" s="236">
        <v>0</v>
      </c>
      <c r="E353" s="236" t="s">
        <v>377</v>
      </c>
    </row>
    <row r="354" spans="1:5" hidden="1" x14ac:dyDescent="0.3">
      <c r="B354" s="205" t="s">
        <v>163</v>
      </c>
      <c r="C354" s="232" t="s">
        <v>82</v>
      </c>
      <c r="D354" s="236"/>
      <c r="E354" s="236"/>
    </row>
    <row r="355" spans="1:5" ht="72" x14ac:dyDescent="0.3">
      <c r="B355" s="206" t="s">
        <v>163</v>
      </c>
      <c r="C355" s="182" t="s">
        <v>187</v>
      </c>
      <c r="D355" s="236">
        <v>0</v>
      </c>
      <c r="E355" s="236" t="s">
        <v>378</v>
      </c>
    </row>
    <row r="356" spans="1:5" ht="43.2" x14ac:dyDescent="0.3">
      <c r="B356" s="181" t="s">
        <v>177</v>
      </c>
      <c r="C356" s="181" t="s">
        <v>194</v>
      </c>
      <c r="D356" s="236">
        <v>0</v>
      </c>
      <c r="E356" s="236" t="s">
        <v>379</v>
      </c>
    </row>
    <row r="357" spans="1:5" ht="43.2" hidden="1" x14ac:dyDescent="0.3">
      <c r="B357" s="182" t="s">
        <v>177</v>
      </c>
      <c r="C357" s="182" t="s">
        <v>194</v>
      </c>
      <c r="D357" s="236"/>
      <c r="E357" s="236"/>
    </row>
    <row r="358" spans="1:5" ht="43.2" hidden="1" x14ac:dyDescent="0.3">
      <c r="B358" s="181" t="s">
        <v>177</v>
      </c>
      <c r="C358" s="181" t="s">
        <v>194</v>
      </c>
      <c r="D358" s="236"/>
      <c r="E358" s="236"/>
    </row>
    <row r="359" spans="1:5" ht="43.2" hidden="1" x14ac:dyDescent="0.3">
      <c r="B359" s="182" t="s">
        <v>177</v>
      </c>
      <c r="C359" s="182" t="s">
        <v>194</v>
      </c>
      <c r="D359" s="236"/>
      <c r="E359" s="236"/>
    </row>
    <row r="360" spans="1:5" ht="43.2" hidden="1" x14ac:dyDescent="0.3">
      <c r="B360" s="181" t="s">
        <v>177</v>
      </c>
      <c r="C360" s="181" t="s">
        <v>194</v>
      </c>
      <c r="D360" s="236"/>
      <c r="E360" s="236"/>
    </row>
    <row r="361" spans="1:5" ht="43.2" hidden="1" x14ac:dyDescent="0.3">
      <c r="B361" s="182" t="s">
        <v>177</v>
      </c>
      <c r="C361" s="182" t="s">
        <v>194</v>
      </c>
      <c r="D361" s="236"/>
      <c r="E361" s="236"/>
    </row>
    <row r="362" spans="1:5" ht="43.2" hidden="1" x14ac:dyDescent="0.3">
      <c r="B362" s="181" t="s">
        <v>177</v>
      </c>
      <c r="C362" s="181" t="s">
        <v>194</v>
      </c>
      <c r="D362" s="236"/>
      <c r="E362" s="236"/>
    </row>
    <row r="363" spans="1:5" ht="43.2" hidden="1" x14ac:dyDescent="0.3">
      <c r="B363" s="182" t="s">
        <v>177</v>
      </c>
      <c r="C363" s="182" t="s">
        <v>194</v>
      </c>
      <c r="D363" s="236"/>
      <c r="E363" s="236"/>
    </row>
    <row r="364" spans="1:5" ht="43.2" hidden="1" x14ac:dyDescent="0.3">
      <c r="B364" s="181" t="s">
        <v>177</v>
      </c>
      <c r="C364" s="181" t="s">
        <v>194</v>
      </c>
      <c r="D364" s="236"/>
      <c r="E364" s="236"/>
    </row>
    <row r="365" spans="1:5" ht="43.2" hidden="1" x14ac:dyDescent="0.3">
      <c r="B365" s="182" t="s">
        <v>177</v>
      </c>
      <c r="C365" s="182" t="s">
        <v>194</v>
      </c>
      <c r="D365" s="236"/>
      <c r="E365" s="236"/>
    </row>
    <row r="366" spans="1:5" ht="43.2" hidden="1" x14ac:dyDescent="0.3">
      <c r="B366" s="181" t="s">
        <v>177</v>
      </c>
      <c r="C366" s="181" t="s">
        <v>194</v>
      </c>
      <c r="D366" s="236"/>
      <c r="E366" s="236"/>
    </row>
    <row r="367" spans="1:5" ht="43.2" hidden="1" x14ac:dyDescent="0.3">
      <c r="B367" s="182" t="s">
        <v>177</v>
      </c>
      <c r="C367" s="182" t="s">
        <v>194</v>
      </c>
      <c r="D367" s="236"/>
      <c r="E367" s="236"/>
    </row>
    <row r="368" spans="1:5" ht="43.2" hidden="1" x14ac:dyDescent="0.3">
      <c r="B368" s="181" t="s">
        <v>177</v>
      </c>
      <c r="C368" s="181" t="s">
        <v>194</v>
      </c>
      <c r="D368" s="236"/>
      <c r="E368" s="236"/>
    </row>
    <row r="369" spans="2:5" ht="43.2" hidden="1" x14ac:dyDescent="0.3">
      <c r="B369" s="182" t="s">
        <v>177</v>
      </c>
      <c r="C369" s="182" t="s">
        <v>194</v>
      </c>
      <c r="D369" s="236"/>
      <c r="E369" s="236"/>
    </row>
    <row r="370" spans="2:5" ht="43.2" hidden="1" x14ac:dyDescent="0.3">
      <c r="B370" s="181" t="s">
        <v>177</v>
      </c>
      <c r="C370" s="181" t="s">
        <v>194</v>
      </c>
      <c r="D370" s="236"/>
      <c r="E370" s="236"/>
    </row>
    <row r="371" spans="2:5" ht="43.2" hidden="1" x14ac:dyDescent="0.3">
      <c r="B371" s="182" t="s">
        <v>177</v>
      </c>
      <c r="C371" s="182" t="s">
        <v>194</v>
      </c>
      <c r="D371" s="236"/>
      <c r="E371" s="236"/>
    </row>
    <row r="372" spans="2:5" ht="43.2" hidden="1" x14ac:dyDescent="0.3">
      <c r="B372" s="181" t="s">
        <v>177</v>
      </c>
      <c r="C372" s="181" t="s">
        <v>194</v>
      </c>
      <c r="D372" s="236"/>
      <c r="E372" s="236"/>
    </row>
    <row r="373" spans="2:5" ht="43.2" x14ac:dyDescent="0.3">
      <c r="B373" s="182" t="s">
        <v>67</v>
      </c>
      <c r="C373" s="182" t="s">
        <v>199</v>
      </c>
      <c r="D373" s="236">
        <v>0</v>
      </c>
      <c r="E373" s="236" t="s">
        <v>380</v>
      </c>
    </row>
    <row r="374" spans="2:5" ht="43.2" hidden="1" x14ac:dyDescent="0.3">
      <c r="B374" s="181" t="s">
        <v>67</v>
      </c>
      <c r="C374" s="181" t="s">
        <v>199</v>
      </c>
      <c r="D374" s="236"/>
      <c r="E374" s="236"/>
    </row>
    <row r="375" spans="2:5" ht="43.2" hidden="1" x14ac:dyDescent="0.3">
      <c r="B375" s="182" t="s">
        <v>67</v>
      </c>
      <c r="C375" s="182" t="s">
        <v>199</v>
      </c>
      <c r="D375" s="236"/>
      <c r="E375" s="236"/>
    </row>
    <row r="376" spans="2:5" ht="43.2" hidden="1" x14ac:dyDescent="0.3">
      <c r="B376" s="181" t="s">
        <v>67</v>
      </c>
      <c r="C376" s="181" t="s">
        <v>199</v>
      </c>
      <c r="D376" s="236"/>
      <c r="E376" s="236"/>
    </row>
    <row r="377" spans="2:5" ht="43.2" hidden="1" x14ac:dyDescent="0.3">
      <c r="B377" s="182" t="s">
        <v>67</v>
      </c>
      <c r="C377" s="182" t="s">
        <v>199</v>
      </c>
      <c r="D377" s="236"/>
      <c r="E377" s="236"/>
    </row>
    <row r="378" spans="2:5" ht="43.2" hidden="1" x14ac:dyDescent="0.3">
      <c r="B378" s="181" t="s">
        <v>67</v>
      </c>
      <c r="C378" s="181" t="s">
        <v>199</v>
      </c>
      <c r="D378" s="236"/>
      <c r="E378" s="236"/>
    </row>
    <row r="379" spans="2:5" ht="43.2" hidden="1" x14ac:dyDescent="0.3">
      <c r="B379" s="182" t="s">
        <v>67</v>
      </c>
      <c r="C379" s="182" t="s">
        <v>199</v>
      </c>
      <c r="D379" s="236"/>
      <c r="E379" s="236"/>
    </row>
    <row r="380" spans="2:5" ht="43.2" x14ac:dyDescent="0.3">
      <c r="B380" s="181" t="s">
        <v>175</v>
      </c>
      <c r="C380" s="181" t="s">
        <v>204</v>
      </c>
      <c r="D380" s="236">
        <v>0</v>
      </c>
      <c r="E380" s="236" t="s">
        <v>381</v>
      </c>
    </row>
    <row r="381" spans="2:5" ht="28.8" hidden="1" x14ac:dyDescent="0.3">
      <c r="B381" s="182" t="s">
        <v>175</v>
      </c>
      <c r="C381" s="182" t="s">
        <v>204</v>
      </c>
      <c r="D381" s="236"/>
      <c r="E381" s="236"/>
    </row>
    <row r="382" spans="2:5" ht="28.8" hidden="1" x14ac:dyDescent="0.3">
      <c r="B382" s="181" t="s">
        <v>175</v>
      </c>
      <c r="C382" s="181" t="s">
        <v>204</v>
      </c>
      <c r="D382" s="236"/>
      <c r="E382" s="236"/>
    </row>
    <row r="383" spans="2:5" ht="28.8" hidden="1" x14ac:dyDescent="0.3">
      <c r="B383" s="182" t="s">
        <v>175</v>
      </c>
      <c r="C383" s="182" t="s">
        <v>204</v>
      </c>
      <c r="D383" s="236"/>
      <c r="E383" s="236"/>
    </row>
    <row r="384" spans="2:5" ht="28.8" hidden="1" x14ac:dyDescent="0.3">
      <c r="B384" s="181" t="s">
        <v>175</v>
      </c>
      <c r="C384" s="181" t="s">
        <v>204</v>
      </c>
      <c r="D384" s="236"/>
      <c r="E384" s="236"/>
    </row>
    <row r="385" spans="2:5" ht="28.8" hidden="1" x14ac:dyDescent="0.3">
      <c r="B385" s="182" t="s">
        <v>175</v>
      </c>
      <c r="C385" s="182" t="s">
        <v>204</v>
      </c>
      <c r="D385" s="236"/>
      <c r="E385" s="236"/>
    </row>
    <row r="386" spans="2:5" ht="28.8" hidden="1" x14ac:dyDescent="0.3">
      <c r="B386" s="181" t="s">
        <v>175</v>
      </c>
      <c r="C386" s="181" t="s">
        <v>204</v>
      </c>
      <c r="D386" s="236"/>
      <c r="E386" s="236"/>
    </row>
    <row r="387" spans="2:5" ht="28.8" hidden="1" x14ac:dyDescent="0.3">
      <c r="B387" s="182" t="s">
        <v>175</v>
      </c>
      <c r="C387" s="182" t="s">
        <v>204</v>
      </c>
      <c r="D387" s="236"/>
      <c r="E387" s="236"/>
    </row>
    <row r="388" spans="2:5" ht="28.8" hidden="1" x14ac:dyDescent="0.3">
      <c r="B388" s="181" t="s">
        <v>175</v>
      </c>
      <c r="C388" s="181" t="s">
        <v>204</v>
      </c>
      <c r="D388" s="236"/>
      <c r="E388" s="236"/>
    </row>
    <row r="389" spans="2:5" ht="43.2" x14ac:dyDescent="0.3">
      <c r="B389" s="182" t="s">
        <v>68</v>
      </c>
      <c r="C389" s="182" t="s">
        <v>209</v>
      </c>
      <c r="D389" s="236">
        <v>0</v>
      </c>
      <c r="E389" s="236" t="s">
        <v>382</v>
      </c>
    </row>
    <row r="390" spans="2:5" ht="43.2" hidden="1" x14ac:dyDescent="0.3">
      <c r="B390" s="181" t="s">
        <v>68</v>
      </c>
      <c r="C390" s="181" t="s">
        <v>209</v>
      </c>
      <c r="D390" s="236"/>
      <c r="E390" s="236"/>
    </row>
    <row r="391" spans="2:5" ht="43.2" hidden="1" x14ac:dyDescent="0.3">
      <c r="B391" s="182" t="s">
        <v>68</v>
      </c>
      <c r="C391" s="182" t="s">
        <v>209</v>
      </c>
      <c r="D391" s="236"/>
      <c r="E391" s="236"/>
    </row>
    <row r="392" spans="2:5" ht="43.2" hidden="1" x14ac:dyDescent="0.3">
      <c r="B392" s="181" t="s">
        <v>68</v>
      </c>
      <c r="C392" s="181" t="s">
        <v>209</v>
      </c>
      <c r="D392" s="236"/>
      <c r="E392" s="236"/>
    </row>
    <row r="393" spans="2:5" ht="43.2" hidden="1" x14ac:dyDescent="0.3">
      <c r="B393" s="182" t="s">
        <v>68</v>
      </c>
      <c r="C393" s="182" t="s">
        <v>209</v>
      </c>
      <c r="D393" s="236"/>
      <c r="E393" s="236"/>
    </row>
    <row r="394" spans="2:5" ht="43.2" hidden="1" x14ac:dyDescent="0.3">
      <c r="B394" s="181" t="s">
        <v>68</v>
      </c>
      <c r="C394" s="181" t="s">
        <v>209</v>
      </c>
      <c r="D394" s="236"/>
      <c r="E394" s="236"/>
    </row>
    <row r="395" spans="2:5" ht="43.2" hidden="1" x14ac:dyDescent="0.3">
      <c r="B395" s="182" t="s">
        <v>68</v>
      </c>
      <c r="C395" s="182" t="s">
        <v>209</v>
      </c>
      <c r="D395" s="236"/>
      <c r="E395" s="236"/>
    </row>
    <row r="396" spans="2:5" ht="43.2" hidden="1" x14ac:dyDescent="0.3">
      <c r="B396" s="181" t="s">
        <v>68</v>
      </c>
      <c r="C396" s="181" t="s">
        <v>209</v>
      </c>
      <c r="D396" s="236"/>
      <c r="E396" s="236"/>
    </row>
    <row r="397" spans="2:5" ht="43.2" hidden="1" x14ac:dyDescent="0.3">
      <c r="B397" s="182" t="s">
        <v>68</v>
      </c>
      <c r="C397" s="182" t="s">
        <v>209</v>
      </c>
      <c r="D397" s="236"/>
      <c r="E397" s="236"/>
    </row>
    <row r="398" spans="2:5" ht="43.2" hidden="1" x14ac:dyDescent="0.3">
      <c r="B398" s="181" t="s">
        <v>68</v>
      </c>
      <c r="C398" s="181" t="s">
        <v>209</v>
      </c>
      <c r="D398" s="236"/>
      <c r="E398" s="236"/>
    </row>
    <row r="399" spans="2:5" ht="43.2" hidden="1" x14ac:dyDescent="0.3">
      <c r="B399" s="182" t="s">
        <v>68</v>
      </c>
      <c r="C399" s="182" t="s">
        <v>209</v>
      </c>
      <c r="D399" s="236"/>
      <c r="E399" s="236"/>
    </row>
    <row r="400" spans="2:5" ht="43.2" hidden="1" x14ac:dyDescent="0.3">
      <c r="B400" s="181" t="s">
        <v>68</v>
      </c>
      <c r="C400" s="181" t="s">
        <v>209</v>
      </c>
      <c r="D400" s="236"/>
      <c r="E400" s="236"/>
    </row>
    <row r="401" spans="2:5" ht="43.2" hidden="1" x14ac:dyDescent="0.3">
      <c r="B401" s="182" t="s">
        <v>68</v>
      </c>
      <c r="C401" s="182" t="s">
        <v>209</v>
      </c>
      <c r="D401" s="236"/>
      <c r="E401" s="236"/>
    </row>
    <row r="402" spans="2:5" ht="43.2" hidden="1" x14ac:dyDescent="0.3">
      <c r="B402" s="181" t="s">
        <v>68</v>
      </c>
      <c r="C402" s="181" t="s">
        <v>209</v>
      </c>
      <c r="D402" s="236"/>
      <c r="E402" s="236"/>
    </row>
    <row r="403" spans="2:5" ht="43.2" hidden="1" x14ac:dyDescent="0.3">
      <c r="B403" s="182" t="s">
        <v>68</v>
      </c>
      <c r="C403" s="182" t="s">
        <v>209</v>
      </c>
      <c r="D403" s="236"/>
      <c r="E403" s="236"/>
    </row>
    <row r="404" spans="2:5" ht="43.2" hidden="1" x14ac:dyDescent="0.3">
      <c r="B404" s="181" t="s">
        <v>68</v>
      </c>
      <c r="C404" s="181" t="s">
        <v>209</v>
      </c>
      <c r="D404" s="236"/>
      <c r="E404" s="236"/>
    </row>
    <row r="405" spans="2:5" ht="28.8" x14ac:dyDescent="0.3">
      <c r="B405" s="182" t="s">
        <v>215</v>
      </c>
      <c r="C405" s="182" t="s">
        <v>221</v>
      </c>
      <c r="D405" s="236">
        <v>0</v>
      </c>
      <c r="E405" s="236" t="s">
        <v>383</v>
      </c>
    </row>
    <row r="406" spans="2:5" ht="28.8" hidden="1" x14ac:dyDescent="0.3">
      <c r="B406" s="181" t="s">
        <v>215</v>
      </c>
      <c r="C406" s="181" t="s">
        <v>221</v>
      </c>
      <c r="D406" s="181"/>
      <c r="E406" s="181"/>
    </row>
    <row r="407" spans="2:5" ht="28.8" hidden="1" x14ac:dyDescent="0.3">
      <c r="B407" s="182" t="s">
        <v>215</v>
      </c>
      <c r="C407" s="182" t="s">
        <v>221</v>
      </c>
      <c r="D407" s="181"/>
      <c r="E407" s="181"/>
    </row>
    <row r="408" spans="2:5" ht="28.8" hidden="1" x14ac:dyDescent="0.3">
      <c r="B408" s="181" t="s">
        <v>215</v>
      </c>
      <c r="C408" s="181" t="s">
        <v>221</v>
      </c>
      <c r="D408" s="181"/>
      <c r="E408" s="181"/>
    </row>
    <row r="409" spans="2:5" ht="28.8" hidden="1" x14ac:dyDescent="0.3">
      <c r="B409" s="182" t="s">
        <v>215</v>
      </c>
      <c r="C409" s="182" t="s">
        <v>221</v>
      </c>
      <c r="D409" s="181"/>
      <c r="E409" s="181"/>
    </row>
    <row r="410" spans="2:5" ht="28.8" hidden="1" x14ac:dyDescent="0.3">
      <c r="B410" s="212" t="s">
        <v>215</v>
      </c>
      <c r="C410" s="212" t="s">
        <v>221</v>
      </c>
      <c r="D410" s="212"/>
      <c r="E410" s="212"/>
    </row>
  </sheetData>
  <dataValidations count="1">
    <dataValidation type="list" allowBlank="1" showInputMessage="1" showErrorMessage="1" sqref="B11:B17 B21:B82 B87:B147 B216:B278 B152:B211 B283:B344 B349:B410">
      <formula1>NEWNAMES</formula1>
    </dataValidation>
  </dataValidations>
  <pageMargins left="0.7" right="0.7" top="0.75" bottom="0.75" header="0.3" footer="0.3"/>
  <pageSetup paperSize="9" orientation="portrait" r:id="rId1"/>
  <legacyDrawing r:id="rId2"/>
  <tableParts count="7">
    <tablePart r:id="rId3"/>
    <tablePart r:id="rId4"/>
    <tablePart r:id="rId5"/>
    <tablePart r:id="rId6"/>
    <tablePart r:id="rId7"/>
    <tablePart r:id="rId8"/>
    <tablePart r:id="rId9"/>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109"/>
  <sheetViews>
    <sheetView workbookViewId="0">
      <pane xSplit="1" ySplit="4" topLeftCell="C49" activePane="bottomRight" state="frozen"/>
      <selection pane="topRight" activeCell="B1" sqref="B1"/>
      <selection pane="bottomLeft" activeCell="A5" sqref="A5"/>
      <selection pane="bottomRight" activeCell="O49" sqref="O49"/>
    </sheetView>
  </sheetViews>
  <sheetFormatPr defaultRowHeight="14.4" x14ac:dyDescent="0.3"/>
  <cols>
    <col min="1" max="1" width="9.109375" style="1"/>
    <col min="2" max="2" width="36.5546875" customWidth="1"/>
    <col min="6" max="6" width="9.109375" style="10"/>
    <col min="11" max="11" width="12.33203125" customWidth="1"/>
    <col min="12" max="13" width="11.6640625" bestFit="1" customWidth="1"/>
    <col min="14" max="14" width="10.109375" bestFit="1" customWidth="1"/>
    <col min="17" max="17" width="19.6640625" customWidth="1"/>
    <col min="18" max="18" width="9.109375" style="29"/>
    <col min="22" max="22" width="18.44140625" customWidth="1"/>
    <col min="23" max="23" width="9.5546875" customWidth="1"/>
    <col min="25" max="25" width="23" customWidth="1"/>
    <col min="26" max="26" width="10.109375" bestFit="1" customWidth="1"/>
    <col min="28" max="28" width="18.33203125" customWidth="1"/>
    <col min="29" max="29" width="10.109375" bestFit="1" customWidth="1"/>
    <col min="33" max="33" width="18.109375" customWidth="1"/>
    <col min="35" max="35" width="23.6640625" customWidth="1"/>
    <col min="36" max="36" width="9.5546875" style="55" bestFit="1" customWidth="1"/>
    <col min="37" max="37" width="9.5546875" bestFit="1" customWidth="1"/>
    <col min="38" max="38" width="21.6640625" customWidth="1"/>
    <col min="43" max="43" width="18.33203125" customWidth="1"/>
  </cols>
  <sheetData>
    <row r="1" spans="1:43" x14ac:dyDescent="0.3">
      <c r="A1" s="4" t="s">
        <v>16</v>
      </c>
    </row>
    <row r="2" spans="1:43" s="10" customFormat="1" x14ac:dyDescent="0.3">
      <c r="A2" s="4"/>
      <c r="R2" s="29"/>
      <c r="AJ2" s="55"/>
    </row>
    <row r="3" spans="1:43" x14ac:dyDescent="0.3">
      <c r="A3" s="120" t="s">
        <v>15</v>
      </c>
      <c r="B3" s="396" t="s">
        <v>25</v>
      </c>
      <c r="C3" s="396"/>
      <c r="D3" s="396"/>
      <c r="E3" s="396"/>
      <c r="F3" s="396"/>
      <c r="G3" s="396"/>
      <c r="H3" s="396"/>
      <c r="I3" s="396"/>
      <c r="J3" s="396"/>
      <c r="K3" s="397" t="s">
        <v>26</v>
      </c>
      <c r="L3" s="397"/>
      <c r="M3" s="397"/>
      <c r="N3" s="397"/>
      <c r="O3" s="397"/>
      <c r="P3" s="397"/>
      <c r="Q3" s="397"/>
      <c r="R3" s="396" t="s">
        <v>27</v>
      </c>
      <c r="S3" s="396"/>
      <c r="T3" s="396"/>
      <c r="U3" s="396"/>
      <c r="V3" s="396"/>
      <c r="W3" s="397" t="s">
        <v>28</v>
      </c>
      <c r="X3" s="397"/>
      <c r="Y3" s="397"/>
      <c r="Z3" s="396" t="s">
        <v>29</v>
      </c>
      <c r="AA3" s="396"/>
      <c r="AB3" s="396"/>
      <c r="AC3" s="397" t="s">
        <v>43</v>
      </c>
      <c r="AD3" s="397"/>
      <c r="AE3" s="397"/>
      <c r="AF3" s="397"/>
      <c r="AG3" s="397"/>
      <c r="AH3" s="396" t="s">
        <v>30</v>
      </c>
      <c r="AI3" s="396"/>
      <c r="AJ3" s="397" t="s">
        <v>31</v>
      </c>
      <c r="AK3" s="397"/>
      <c r="AL3" s="397"/>
      <c r="AM3" s="396" t="s">
        <v>32</v>
      </c>
      <c r="AN3" s="396"/>
      <c r="AO3" s="396"/>
      <c r="AP3" s="396"/>
      <c r="AQ3" s="396"/>
    </row>
    <row r="4" spans="1:43" s="26" customFormat="1" ht="118.5" customHeight="1" x14ac:dyDescent="0.3">
      <c r="A4" s="121" t="s">
        <v>15</v>
      </c>
      <c r="B4" s="24" t="s">
        <v>0</v>
      </c>
      <c r="C4" s="24" t="s">
        <v>1</v>
      </c>
      <c r="D4" s="24" t="s">
        <v>2</v>
      </c>
      <c r="E4" s="24" t="s">
        <v>11</v>
      </c>
      <c r="F4" s="24" t="s">
        <v>78</v>
      </c>
      <c r="G4" s="24" t="s">
        <v>10</v>
      </c>
      <c r="H4" s="24" t="s">
        <v>14</v>
      </c>
      <c r="I4" s="24" t="s">
        <v>50</v>
      </c>
      <c r="J4" s="24" t="s">
        <v>3</v>
      </c>
      <c r="K4" s="25" t="s">
        <v>4</v>
      </c>
      <c r="L4" s="25" t="s">
        <v>5</v>
      </c>
      <c r="M4" s="25" t="s">
        <v>6</v>
      </c>
      <c r="N4" s="25" t="s">
        <v>7</v>
      </c>
      <c r="O4" s="25" t="s">
        <v>36</v>
      </c>
      <c r="P4" s="25" t="s">
        <v>37</v>
      </c>
      <c r="Q4" s="25" t="s">
        <v>9</v>
      </c>
      <c r="R4" s="30" t="s">
        <v>33</v>
      </c>
      <c r="S4" s="24" t="s">
        <v>47</v>
      </c>
      <c r="T4" s="24" t="s">
        <v>48</v>
      </c>
      <c r="U4" s="24" t="s">
        <v>49</v>
      </c>
      <c r="V4" s="24" t="s">
        <v>9</v>
      </c>
      <c r="W4" s="25" t="s">
        <v>12</v>
      </c>
      <c r="X4" s="25" t="s">
        <v>13</v>
      </c>
      <c r="Y4" s="25" t="s">
        <v>9</v>
      </c>
      <c r="Z4" s="24" t="s">
        <v>12</v>
      </c>
      <c r="AA4" s="24" t="s">
        <v>13</v>
      </c>
      <c r="AB4" s="24" t="s">
        <v>9</v>
      </c>
      <c r="AC4" s="25" t="s">
        <v>20</v>
      </c>
      <c r="AD4" s="25" t="s">
        <v>17</v>
      </c>
      <c r="AE4" s="25" t="s">
        <v>18</v>
      </c>
      <c r="AF4" s="25" t="s">
        <v>19</v>
      </c>
      <c r="AG4" s="25" t="s">
        <v>9</v>
      </c>
      <c r="AH4" s="24" t="s">
        <v>13</v>
      </c>
      <c r="AI4" s="24" t="s">
        <v>9</v>
      </c>
      <c r="AJ4" s="56" t="s">
        <v>21</v>
      </c>
      <c r="AK4" s="25" t="s">
        <v>22</v>
      </c>
      <c r="AL4" s="25" t="s">
        <v>9</v>
      </c>
      <c r="AM4" s="24" t="s">
        <v>23</v>
      </c>
      <c r="AN4" s="24" t="s">
        <v>99</v>
      </c>
      <c r="AO4" s="24" t="s">
        <v>24</v>
      </c>
      <c r="AP4" s="24" t="s">
        <v>100</v>
      </c>
      <c r="AQ4" s="24" t="s">
        <v>9</v>
      </c>
    </row>
    <row r="5" spans="1:43" x14ac:dyDescent="0.3">
      <c r="A5" s="3">
        <v>1</v>
      </c>
      <c r="B5" s="33" t="s">
        <v>127</v>
      </c>
      <c r="C5" s="68" t="s">
        <v>74</v>
      </c>
      <c r="D5" s="95" t="s">
        <v>77</v>
      </c>
      <c r="E5" s="95" t="s">
        <v>71</v>
      </c>
      <c r="F5" s="68" t="s">
        <v>79</v>
      </c>
      <c r="G5" s="68" t="s">
        <v>82</v>
      </c>
      <c r="H5" s="98" t="s">
        <v>163</v>
      </c>
      <c r="I5" s="68" t="s">
        <v>15</v>
      </c>
      <c r="J5" s="68">
        <v>2</v>
      </c>
      <c r="K5" s="38">
        <v>564000</v>
      </c>
      <c r="L5" s="38">
        <v>257000</v>
      </c>
      <c r="M5" s="39">
        <v>78000</v>
      </c>
      <c r="N5" s="41">
        <v>65500</v>
      </c>
      <c r="O5" s="68" t="s">
        <v>126</v>
      </c>
      <c r="P5" s="68" t="s">
        <v>15</v>
      </c>
      <c r="Q5" s="99" t="s">
        <v>181</v>
      </c>
      <c r="R5" s="86" t="s">
        <v>182</v>
      </c>
      <c r="S5" s="50">
        <v>100000</v>
      </c>
      <c r="T5" s="51">
        <v>10000</v>
      </c>
      <c r="U5" s="68" t="s">
        <v>82</v>
      </c>
      <c r="V5" s="99" t="s">
        <v>183</v>
      </c>
      <c r="W5" s="41">
        <v>0</v>
      </c>
      <c r="X5" s="41">
        <v>8000</v>
      </c>
      <c r="Y5" s="99" t="s">
        <v>184</v>
      </c>
      <c r="Z5" s="41">
        <v>0</v>
      </c>
      <c r="AA5" s="41">
        <v>2500</v>
      </c>
      <c r="AB5" s="99" t="s">
        <v>184</v>
      </c>
      <c r="AC5" s="68">
        <v>0</v>
      </c>
      <c r="AD5" s="68">
        <v>0</v>
      </c>
      <c r="AE5" s="68">
        <v>0</v>
      </c>
      <c r="AF5" s="68">
        <v>0</v>
      </c>
      <c r="AG5" s="99" t="s">
        <v>185</v>
      </c>
      <c r="AH5" s="50">
        <v>5000</v>
      </c>
      <c r="AI5" s="99" t="s">
        <v>186</v>
      </c>
      <c r="AJ5" s="88">
        <v>420000</v>
      </c>
      <c r="AK5" s="68">
        <v>200000</v>
      </c>
      <c r="AL5" s="87" t="s">
        <v>82</v>
      </c>
      <c r="AM5" s="93" t="s">
        <v>82</v>
      </c>
      <c r="AN5" s="93" t="s">
        <v>82</v>
      </c>
      <c r="AO5" s="93" t="s">
        <v>82</v>
      </c>
      <c r="AP5" s="93" t="s">
        <v>82</v>
      </c>
      <c r="AQ5" s="93" t="s">
        <v>82</v>
      </c>
    </row>
    <row r="6" spans="1:43" s="10" customFormat="1" x14ac:dyDescent="0.3">
      <c r="A6" s="3">
        <v>2</v>
      </c>
      <c r="B6" s="34" t="s">
        <v>128</v>
      </c>
      <c r="C6" s="68" t="s">
        <v>74</v>
      </c>
      <c r="D6" s="95" t="s">
        <v>76</v>
      </c>
      <c r="E6" s="95" t="s">
        <v>71</v>
      </c>
      <c r="F6" s="68" t="s">
        <v>79</v>
      </c>
      <c r="G6" s="68" t="s">
        <v>82</v>
      </c>
      <c r="H6" s="98" t="s">
        <v>163</v>
      </c>
      <c r="I6" s="68" t="s">
        <v>15</v>
      </c>
      <c r="J6" s="68">
        <v>2</v>
      </c>
      <c r="K6" s="38">
        <v>750000</v>
      </c>
      <c r="L6" s="38">
        <v>233000</v>
      </c>
      <c r="M6" s="38">
        <v>360000</v>
      </c>
      <c r="N6" s="38">
        <v>211000</v>
      </c>
      <c r="O6" s="68" t="s">
        <v>126</v>
      </c>
      <c r="P6" s="68" t="s">
        <v>15</v>
      </c>
      <c r="Q6" s="99" t="s">
        <v>181</v>
      </c>
      <c r="R6" s="86" t="s">
        <v>182</v>
      </c>
      <c r="S6" s="50">
        <v>400000</v>
      </c>
      <c r="T6" s="50">
        <v>70000</v>
      </c>
      <c r="U6" s="68" t="s">
        <v>82</v>
      </c>
      <c r="V6" s="99" t="s">
        <v>183</v>
      </c>
      <c r="W6" s="41">
        <v>0</v>
      </c>
      <c r="X6" s="41">
        <v>8000</v>
      </c>
      <c r="Y6" s="99" t="s">
        <v>184</v>
      </c>
      <c r="Z6" s="41">
        <v>0</v>
      </c>
      <c r="AA6" s="41">
        <v>5000</v>
      </c>
      <c r="AB6" s="99" t="s">
        <v>184</v>
      </c>
      <c r="AC6" s="68">
        <v>0</v>
      </c>
      <c r="AD6" s="68">
        <v>0</v>
      </c>
      <c r="AE6" s="68">
        <v>0</v>
      </c>
      <c r="AF6" s="68">
        <v>0</v>
      </c>
      <c r="AG6" s="99" t="s">
        <v>185</v>
      </c>
      <c r="AH6" s="50">
        <v>5000</v>
      </c>
      <c r="AI6" s="99" t="s">
        <v>186</v>
      </c>
      <c r="AJ6" s="92">
        <v>0</v>
      </c>
      <c r="AK6" s="92">
        <v>0</v>
      </c>
      <c r="AL6" s="87" t="s">
        <v>82</v>
      </c>
      <c r="AM6" s="93" t="s">
        <v>82</v>
      </c>
      <c r="AN6" s="93" t="s">
        <v>82</v>
      </c>
      <c r="AO6" s="93" t="s">
        <v>82</v>
      </c>
      <c r="AP6" s="93" t="s">
        <v>82</v>
      </c>
      <c r="AQ6" s="93" t="s">
        <v>82</v>
      </c>
    </row>
    <row r="7" spans="1:43" s="10" customFormat="1" x14ac:dyDescent="0.3">
      <c r="A7" s="3">
        <v>3</v>
      </c>
      <c r="B7" s="34" t="s">
        <v>129</v>
      </c>
      <c r="C7" s="68" t="s">
        <v>74</v>
      </c>
      <c r="D7" s="95" t="s">
        <v>76</v>
      </c>
      <c r="E7" s="95" t="s">
        <v>71</v>
      </c>
      <c r="F7" s="68" t="s">
        <v>79</v>
      </c>
      <c r="G7" s="68" t="s">
        <v>82</v>
      </c>
      <c r="H7" s="98" t="s">
        <v>163</v>
      </c>
      <c r="I7" s="68" t="s">
        <v>15</v>
      </c>
      <c r="J7" s="68">
        <v>2</v>
      </c>
      <c r="K7" s="38">
        <v>250000</v>
      </c>
      <c r="L7" s="38">
        <v>102000</v>
      </c>
      <c r="M7" s="38">
        <v>120000</v>
      </c>
      <c r="N7" s="38">
        <v>135000</v>
      </c>
      <c r="O7" s="52" t="s">
        <v>126</v>
      </c>
      <c r="P7" s="68" t="s">
        <v>15</v>
      </c>
      <c r="Q7" s="99" t="s">
        <v>181</v>
      </c>
      <c r="R7" s="86" t="s">
        <v>182</v>
      </c>
      <c r="S7" s="50">
        <v>400000</v>
      </c>
      <c r="T7" s="51">
        <v>7500</v>
      </c>
      <c r="U7" s="68" t="s">
        <v>82</v>
      </c>
      <c r="V7" s="99" t="s">
        <v>183</v>
      </c>
      <c r="W7" s="41">
        <v>0</v>
      </c>
      <c r="X7" s="41">
        <v>12000</v>
      </c>
      <c r="Y7" s="99" t="s">
        <v>184</v>
      </c>
      <c r="Z7" s="41">
        <v>0</v>
      </c>
      <c r="AA7" s="41">
        <v>5000</v>
      </c>
      <c r="AB7" s="99" t="s">
        <v>184</v>
      </c>
      <c r="AC7" s="52">
        <v>0</v>
      </c>
      <c r="AD7" s="52">
        <v>0</v>
      </c>
      <c r="AE7" s="52">
        <v>0</v>
      </c>
      <c r="AF7" s="52">
        <v>0</v>
      </c>
      <c r="AG7" s="99" t="s">
        <v>185</v>
      </c>
      <c r="AH7" s="50">
        <v>5000</v>
      </c>
      <c r="AI7" s="99" t="s">
        <v>186</v>
      </c>
      <c r="AJ7" s="92">
        <v>0</v>
      </c>
      <c r="AK7" s="92">
        <v>0</v>
      </c>
      <c r="AL7" s="87" t="s">
        <v>82</v>
      </c>
      <c r="AM7" s="93" t="s">
        <v>82</v>
      </c>
      <c r="AN7" s="93" t="s">
        <v>82</v>
      </c>
      <c r="AO7" s="93" t="s">
        <v>82</v>
      </c>
      <c r="AP7" s="93" t="s">
        <v>82</v>
      </c>
      <c r="AQ7" s="93" t="s">
        <v>82</v>
      </c>
    </row>
    <row r="8" spans="1:43" s="10" customFormat="1" x14ac:dyDescent="0.3">
      <c r="A8" s="3">
        <v>4</v>
      </c>
      <c r="B8" s="19" t="s">
        <v>164</v>
      </c>
      <c r="C8" s="68" t="s">
        <v>75</v>
      </c>
      <c r="D8" s="95" t="s">
        <v>76</v>
      </c>
      <c r="E8" s="95" t="s">
        <v>71</v>
      </c>
      <c r="F8" s="68" t="s">
        <v>79</v>
      </c>
      <c r="G8" s="68" t="s">
        <v>82</v>
      </c>
      <c r="H8" s="98" t="s">
        <v>163</v>
      </c>
      <c r="I8" s="68" t="s">
        <v>15</v>
      </c>
      <c r="J8" s="68">
        <v>2</v>
      </c>
      <c r="K8" s="39">
        <v>392000</v>
      </c>
      <c r="L8" s="38">
        <v>371000</v>
      </c>
      <c r="M8" s="39">
        <v>170000</v>
      </c>
      <c r="N8" s="38">
        <v>94000</v>
      </c>
      <c r="O8" s="52" t="s">
        <v>126</v>
      </c>
      <c r="P8" s="68" t="s">
        <v>15</v>
      </c>
      <c r="Q8" s="99" t="s">
        <v>181</v>
      </c>
      <c r="R8" s="86" t="s">
        <v>182</v>
      </c>
      <c r="S8" s="50">
        <v>480000</v>
      </c>
      <c r="T8" s="51">
        <v>40000</v>
      </c>
      <c r="U8" s="68" t="s">
        <v>82</v>
      </c>
      <c r="V8" s="99" t="s">
        <v>183</v>
      </c>
      <c r="W8" s="41">
        <v>40000</v>
      </c>
      <c r="X8" s="41">
        <v>20000</v>
      </c>
      <c r="Y8" s="99" t="s">
        <v>184</v>
      </c>
      <c r="Z8" s="41">
        <v>0</v>
      </c>
      <c r="AA8" s="41">
        <v>2000</v>
      </c>
      <c r="AB8" s="99" t="s">
        <v>184</v>
      </c>
      <c r="AC8" s="52">
        <v>0</v>
      </c>
      <c r="AD8" s="52">
        <v>0</v>
      </c>
      <c r="AE8" s="52">
        <v>0</v>
      </c>
      <c r="AF8" s="52">
        <v>0</v>
      </c>
      <c r="AG8" s="99" t="s">
        <v>185</v>
      </c>
      <c r="AH8" s="50">
        <v>5000</v>
      </c>
      <c r="AI8" s="99" t="s">
        <v>186</v>
      </c>
      <c r="AJ8" s="92">
        <v>0</v>
      </c>
      <c r="AK8" s="92">
        <v>0</v>
      </c>
      <c r="AL8" s="87" t="s">
        <v>82</v>
      </c>
      <c r="AM8" s="93" t="s">
        <v>82</v>
      </c>
      <c r="AN8" s="93" t="s">
        <v>82</v>
      </c>
      <c r="AO8" s="93" t="s">
        <v>82</v>
      </c>
      <c r="AP8" s="93" t="s">
        <v>82</v>
      </c>
      <c r="AQ8" s="93" t="s">
        <v>82</v>
      </c>
    </row>
    <row r="9" spans="1:43" s="10" customFormat="1" x14ac:dyDescent="0.3">
      <c r="A9" s="3">
        <v>5</v>
      </c>
      <c r="B9" s="35" t="s">
        <v>161</v>
      </c>
      <c r="C9" s="68" t="s">
        <v>162</v>
      </c>
      <c r="D9" s="95" t="s">
        <v>76</v>
      </c>
      <c r="E9" s="95" t="s">
        <v>71</v>
      </c>
      <c r="F9" s="68" t="s">
        <v>79</v>
      </c>
      <c r="G9" s="68" t="s">
        <v>82</v>
      </c>
      <c r="H9" s="98" t="s">
        <v>163</v>
      </c>
      <c r="I9" s="68" t="s">
        <v>15</v>
      </c>
      <c r="J9" s="68">
        <v>2</v>
      </c>
      <c r="K9" s="39">
        <v>1985000</v>
      </c>
      <c r="L9" s="38">
        <v>815000</v>
      </c>
      <c r="M9" s="39">
        <v>550000</v>
      </c>
      <c r="N9" s="38">
        <v>385000</v>
      </c>
      <c r="O9" s="52" t="s">
        <v>126</v>
      </c>
      <c r="P9" s="68" t="s">
        <v>15</v>
      </c>
      <c r="Q9" s="99" t="s">
        <v>181</v>
      </c>
      <c r="R9" s="86" t="s">
        <v>182</v>
      </c>
      <c r="S9" s="50">
        <v>300000</v>
      </c>
      <c r="T9" s="51">
        <v>135000</v>
      </c>
      <c r="U9" s="68" t="s">
        <v>82</v>
      </c>
      <c r="V9" s="99" t="s">
        <v>183</v>
      </c>
      <c r="W9" s="41">
        <v>83500</v>
      </c>
      <c r="X9" s="41">
        <v>40000</v>
      </c>
      <c r="Y9" s="99" t="s">
        <v>184</v>
      </c>
      <c r="Z9" s="41">
        <v>0</v>
      </c>
      <c r="AA9" s="41">
        <v>5000</v>
      </c>
      <c r="AB9" s="99" t="s">
        <v>184</v>
      </c>
      <c r="AC9" s="52">
        <v>0</v>
      </c>
      <c r="AD9" s="52">
        <v>0</v>
      </c>
      <c r="AE9" s="52">
        <v>0</v>
      </c>
      <c r="AF9" s="52">
        <v>0</v>
      </c>
      <c r="AG9" s="99" t="s">
        <v>185</v>
      </c>
      <c r="AH9" s="50">
        <v>5000</v>
      </c>
      <c r="AI9" s="99" t="s">
        <v>186</v>
      </c>
      <c r="AJ9" s="92">
        <v>0</v>
      </c>
      <c r="AK9" s="92">
        <v>0</v>
      </c>
      <c r="AL9" s="87" t="s">
        <v>82</v>
      </c>
      <c r="AM9" s="93" t="s">
        <v>82</v>
      </c>
      <c r="AN9" s="93" t="s">
        <v>82</v>
      </c>
      <c r="AO9" s="93" t="s">
        <v>82</v>
      </c>
      <c r="AP9" s="93" t="s">
        <v>82</v>
      </c>
      <c r="AQ9" s="93" t="s">
        <v>82</v>
      </c>
    </row>
    <row r="10" spans="1:43" s="10" customFormat="1" x14ac:dyDescent="0.3">
      <c r="A10" s="3">
        <v>6</v>
      </c>
      <c r="B10" s="36" t="s">
        <v>180</v>
      </c>
      <c r="C10" s="68" t="s">
        <v>74</v>
      </c>
      <c r="D10" s="95" t="s">
        <v>76</v>
      </c>
      <c r="E10" s="95" t="s">
        <v>71</v>
      </c>
      <c r="F10" s="68" t="s">
        <v>79</v>
      </c>
      <c r="G10" s="68" t="s">
        <v>82</v>
      </c>
      <c r="H10" s="98" t="s">
        <v>163</v>
      </c>
      <c r="I10" s="68" t="s">
        <v>15</v>
      </c>
      <c r="J10" s="68">
        <v>2</v>
      </c>
      <c r="K10" s="38">
        <v>250000</v>
      </c>
      <c r="L10" s="38">
        <v>102000</v>
      </c>
      <c r="M10" s="38">
        <v>120000</v>
      </c>
      <c r="N10" s="38">
        <v>135000</v>
      </c>
      <c r="O10" s="52" t="s">
        <v>126</v>
      </c>
      <c r="P10" s="68" t="s">
        <v>15</v>
      </c>
      <c r="Q10" s="99" t="s">
        <v>181</v>
      </c>
      <c r="R10" s="86" t="s">
        <v>182</v>
      </c>
      <c r="S10" s="50">
        <v>400000</v>
      </c>
      <c r="T10" s="51">
        <v>7500</v>
      </c>
      <c r="U10" s="68" t="s">
        <v>82</v>
      </c>
      <c r="V10" s="99" t="s">
        <v>183</v>
      </c>
      <c r="W10" s="41">
        <v>0</v>
      </c>
      <c r="X10" s="41">
        <v>8000</v>
      </c>
      <c r="Y10" s="99" t="s">
        <v>184</v>
      </c>
      <c r="Z10" s="41">
        <v>0</v>
      </c>
      <c r="AA10" s="41">
        <v>5000</v>
      </c>
      <c r="AB10" s="99" t="s">
        <v>184</v>
      </c>
      <c r="AC10" s="52">
        <v>0</v>
      </c>
      <c r="AD10" s="52">
        <v>0</v>
      </c>
      <c r="AE10" s="52">
        <v>0</v>
      </c>
      <c r="AF10" s="52">
        <v>0</v>
      </c>
      <c r="AG10" s="99" t="s">
        <v>185</v>
      </c>
      <c r="AH10" s="50">
        <v>5000</v>
      </c>
      <c r="AI10" s="99" t="s">
        <v>186</v>
      </c>
      <c r="AJ10" s="88">
        <v>240000</v>
      </c>
      <c r="AK10" s="68">
        <v>200000</v>
      </c>
      <c r="AL10" s="100" t="s">
        <v>188</v>
      </c>
      <c r="AM10" s="93" t="s">
        <v>82</v>
      </c>
      <c r="AN10" s="93" t="s">
        <v>82</v>
      </c>
      <c r="AO10" s="93" t="s">
        <v>82</v>
      </c>
      <c r="AP10" s="93" t="s">
        <v>82</v>
      </c>
      <c r="AQ10" s="93" t="s">
        <v>82</v>
      </c>
    </row>
    <row r="11" spans="1:43" s="10" customFormat="1" x14ac:dyDescent="0.3">
      <c r="A11" s="3">
        <v>7</v>
      </c>
      <c r="B11" s="36" t="s">
        <v>130</v>
      </c>
      <c r="C11" s="68" t="s">
        <v>74</v>
      </c>
      <c r="D11" s="95" t="s">
        <v>76</v>
      </c>
      <c r="E11" s="95" t="s">
        <v>71</v>
      </c>
      <c r="F11" s="68" t="s">
        <v>79</v>
      </c>
      <c r="G11" s="68" t="s">
        <v>82</v>
      </c>
      <c r="H11" s="98" t="s">
        <v>163</v>
      </c>
      <c r="I11" s="68" t="s">
        <v>15</v>
      </c>
      <c r="J11" s="68">
        <v>2</v>
      </c>
      <c r="K11" s="38">
        <v>483000</v>
      </c>
      <c r="L11" s="38">
        <v>134000</v>
      </c>
      <c r="M11" s="38">
        <v>200000</v>
      </c>
      <c r="N11" s="38">
        <v>182000</v>
      </c>
      <c r="O11" s="52" t="s">
        <v>126</v>
      </c>
      <c r="P11" s="68" t="s">
        <v>15</v>
      </c>
      <c r="Q11" s="99" t="s">
        <v>181</v>
      </c>
      <c r="R11" s="86" t="s">
        <v>182</v>
      </c>
      <c r="S11" s="51">
        <v>450000</v>
      </c>
      <c r="T11" s="51">
        <v>15000</v>
      </c>
      <c r="U11" s="68" t="s">
        <v>82</v>
      </c>
      <c r="V11" s="99" t="s">
        <v>183</v>
      </c>
      <c r="W11" s="41">
        <v>0</v>
      </c>
      <c r="X11" s="41">
        <v>12000</v>
      </c>
      <c r="Y11" s="99" t="s">
        <v>184</v>
      </c>
      <c r="Z11" s="41">
        <v>0</v>
      </c>
      <c r="AA11" s="41">
        <v>5000</v>
      </c>
      <c r="AB11" s="99" t="s">
        <v>184</v>
      </c>
      <c r="AC11" s="52">
        <v>0</v>
      </c>
      <c r="AD11" s="52">
        <v>0</v>
      </c>
      <c r="AE11" s="52">
        <v>0</v>
      </c>
      <c r="AF11" s="52">
        <v>0</v>
      </c>
      <c r="AG11" s="99" t="s">
        <v>185</v>
      </c>
      <c r="AH11" s="50">
        <v>5000</v>
      </c>
      <c r="AI11" s="99" t="s">
        <v>186</v>
      </c>
      <c r="AJ11" s="92">
        <v>0</v>
      </c>
      <c r="AK11" s="92">
        <v>0</v>
      </c>
      <c r="AL11" s="87" t="s">
        <v>82</v>
      </c>
      <c r="AM11" s="93" t="s">
        <v>82</v>
      </c>
      <c r="AN11" s="93" t="s">
        <v>82</v>
      </c>
      <c r="AO11" s="93" t="s">
        <v>82</v>
      </c>
      <c r="AP11" s="93" t="s">
        <v>82</v>
      </c>
      <c r="AQ11" s="93" t="s">
        <v>82</v>
      </c>
    </row>
    <row r="12" spans="1:43" s="10" customFormat="1" x14ac:dyDescent="0.3">
      <c r="A12" s="3">
        <v>8</v>
      </c>
      <c r="B12" s="33" t="s">
        <v>131</v>
      </c>
      <c r="C12" s="68" t="s">
        <v>74</v>
      </c>
      <c r="D12" s="95" t="s">
        <v>77</v>
      </c>
      <c r="E12" s="95" t="s">
        <v>71</v>
      </c>
      <c r="F12" s="68" t="s">
        <v>79</v>
      </c>
      <c r="G12" s="68" t="s">
        <v>82</v>
      </c>
      <c r="H12" s="98" t="s">
        <v>163</v>
      </c>
      <c r="I12" s="68" t="s">
        <v>15</v>
      </c>
      <c r="J12" s="68">
        <v>2</v>
      </c>
      <c r="K12" s="38">
        <v>4755000</v>
      </c>
      <c r="L12" s="38">
        <v>907000</v>
      </c>
      <c r="M12" s="39">
        <v>528000</v>
      </c>
      <c r="N12" s="38">
        <v>425000</v>
      </c>
      <c r="O12" s="52" t="s">
        <v>126</v>
      </c>
      <c r="P12" s="68" t="s">
        <v>15</v>
      </c>
      <c r="Q12" s="99" t="s">
        <v>181</v>
      </c>
      <c r="R12" s="86" t="s">
        <v>182</v>
      </c>
      <c r="S12" s="50">
        <v>450000</v>
      </c>
      <c r="T12" s="51">
        <v>15000</v>
      </c>
      <c r="U12" s="68" t="s">
        <v>82</v>
      </c>
      <c r="V12" s="99" t="s">
        <v>183</v>
      </c>
      <c r="W12" s="41">
        <v>0</v>
      </c>
      <c r="X12" s="41">
        <v>80000</v>
      </c>
      <c r="Y12" s="99" t="s">
        <v>184</v>
      </c>
      <c r="Z12" s="41">
        <v>0</v>
      </c>
      <c r="AA12" s="41">
        <v>4000</v>
      </c>
      <c r="AB12" s="99" t="s">
        <v>184</v>
      </c>
      <c r="AC12" s="52">
        <v>0</v>
      </c>
      <c r="AD12" s="52">
        <v>0</v>
      </c>
      <c r="AE12" s="52">
        <v>0</v>
      </c>
      <c r="AF12" s="52">
        <v>0</v>
      </c>
      <c r="AG12" s="99" t="s">
        <v>185</v>
      </c>
      <c r="AH12" s="52">
        <v>4000</v>
      </c>
      <c r="AI12" s="99" t="s">
        <v>186</v>
      </c>
      <c r="AJ12" s="87">
        <v>420000</v>
      </c>
      <c r="AK12" s="52">
        <v>300000</v>
      </c>
      <c r="AL12" s="99" t="s">
        <v>187</v>
      </c>
      <c r="AM12" s="93" t="s">
        <v>82</v>
      </c>
      <c r="AN12" s="93" t="s">
        <v>82</v>
      </c>
      <c r="AO12" s="93" t="s">
        <v>82</v>
      </c>
      <c r="AP12" s="93" t="s">
        <v>82</v>
      </c>
      <c r="AQ12" s="93" t="s">
        <v>82</v>
      </c>
    </row>
    <row r="13" spans="1:43" x14ac:dyDescent="0.3">
      <c r="A13" s="3">
        <v>9</v>
      </c>
      <c r="B13" s="12" t="s">
        <v>101</v>
      </c>
      <c r="C13" s="95" t="s">
        <v>75</v>
      </c>
      <c r="D13" s="95" t="s">
        <v>76</v>
      </c>
      <c r="E13" s="95" t="s">
        <v>71</v>
      </c>
      <c r="F13" s="95" t="s">
        <v>79</v>
      </c>
      <c r="G13" s="95" t="s">
        <v>82</v>
      </c>
      <c r="H13" s="95" t="s">
        <v>177</v>
      </c>
      <c r="I13" s="95" t="s">
        <v>79</v>
      </c>
      <c r="J13" s="95">
        <v>2</v>
      </c>
      <c r="K13" s="87">
        <v>1512800</v>
      </c>
      <c r="L13" s="87">
        <v>1027000</v>
      </c>
      <c r="M13" s="87">
        <v>843500</v>
      </c>
      <c r="N13" s="87">
        <v>598000</v>
      </c>
      <c r="O13" s="94" t="s">
        <v>79</v>
      </c>
      <c r="P13" s="94" t="s">
        <v>15</v>
      </c>
      <c r="Q13" s="99" t="s">
        <v>189</v>
      </c>
      <c r="R13" s="86">
        <v>1</v>
      </c>
      <c r="S13" s="87" t="s">
        <v>82</v>
      </c>
      <c r="T13" s="87">
        <v>25000</v>
      </c>
      <c r="U13" s="85" t="s">
        <v>82</v>
      </c>
      <c r="V13" s="99" t="s">
        <v>190</v>
      </c>
      <c r="W13" s="87">
        <v>150000</v>
      </c>
      <c r="X13" s="87">
        <v>20000</v>
      </c>
      <c r="Y13" s="99" t="s">
        <v>191</v>
      </c>
      <c r="Z13" s="87">
        <v>80000</v>
      </c>
      <c r="AA13" s="41">
        <v>0</v>
      </c>
      <c r="AB13" s="99" t="s">
        <v>191</v>
      </c>
      <c r="AC13" s="52">
        <v>400000</v>
      </c>
      <c r="AD13" s="52">
        <v>10</v>
      </c>
      <c r="AE13" s="52">
        <v>5</v>
      </c>
      <c r="AF13" s="87">
        <v>0</v>
      </c>
      <c r="AG13" s="99" t="s">
        <v>192</v>
      </c>
      <c r="AH13" s="38">
        <v>5000</v>
      </c>
      <c r="AI13" s="99" t="s">
        <v>193</v>
      </c>
      <c r="AJ13" s="87" t="s">
        <v>82</v>
      </c>
      <c r="AK13" s="78" t="s">
        <v>82</v>
      </c>
      <c r="AL13" s="99" t="s">
        <v>194</v>
      </c>
      <c r="AM13" s="93" t="s">
        <v>82</v>
      </c>
      <c r="AN13" s="93" t="s">
        <v>82</v>
      </c>
      <c r="AO13" s="93" t="s">
        <v>82</v>
      </c>
      <c r="AP13" s="93" t="s">
        <v>82</v>
      </c>
      <c r="AQ13" s="93" t="s">
        <v>82</v>
      </c>
    </row>
    <row r="14" spans="1:43" x14ac:dyDescent="0.3">
      <c r="A14" s="3">
        <v>10</v>
      </c>
      <c r="B14" s="12" t="s">
        <v>102</v>
      </c>
      <c r="C14" s="95" t="s">
        <v>75</v>
      </c>
      <c r="D14" s="95" t="s">
        <v>76</v>
      </c>
      <c r="E14" s="95" t="s">
        <v>71</v>
      </c>
      <c r="F14" s="95" t="s">
        <v>79</v>
      </c>
      <c r="G14" s="95" t="s">
        <v>82</v>
      </c>
      <c r="H14" s="95" t="s">
        <v>177</v>
      </c>
      <c r="I14" s="95" t="s">
        <v>79</v>
      </c>
      <c r="J14" s="95">
        <v>2</v>
      </c>
      <c r="K14" s="87">
        <v>1800000</v>
      </c>
      <c r="L14" s="87">
        <v>1002500</v>
      </c>
      <c r="M14" s="87">
        <v>814000</v>
      </c>
      <c r="N14" s="87">
        <v>884750</v>
      </c>
      <c r="O14" s="94" t="s">
        <v>79</v>
      </c>
      <c r="P14" s="94" t="s">
        <v>15</v>
      </c>
      <c r="Q14" s="99" t="s">
        <v>189</v>
      </c>
      <c r="R14" s="86">
        <v>1</v>
      </c>
      <c r="S14" s="87">
        <v>36000</v>
      </c>
      <c r="T14" s="87" t="s">
        <v>82</v>
      </c>
      <c r="U14" s="87">
        <v>50000</v>
      </c>
      <c r="V14" s="99" t="s">
        <v>190</v>
      </c>
      <c r="W14" s="87">
        <v>180000</v>
      </c>
      <c r="X14" s="87">
        <v>24000</v>
      </c>
      <c r="Y14" s="99" t="s">
        <v>191</v>
      </c>
      <c r="Z14" s="87">
        <v>100000</v>
      </c>
      <c r="AA14" s="87">
        <v>8000</v>
      </c>
      <c r="AB14" s="99" t="s">
        <v>191</v>
      </c>
      <c r="AC14" s="52">
        <v>500000</v>
      </c>
      <c r="AD14" s="52">
        <v>10</v>
      </c>
      <c r="AE14" s="52">
        <v>5</v>
      </c>
      <c r="AF14" s="87">
        <v>0</v>
      </c>
      <c r="AG14" s="99" t="s">
        <v>192</v>
      </c>
      <c r="AH14" s="38">
        <v>8000</v>
      </c>
      <c r="AI14" s="99" t="s">
        <v>193</v>
      </c>
      <c r="AJ14" s="87" t="s">
        <v>82</v>
      </c>
      <c r="AK14" s="78" t="s">
        <v>82</v>
      </c>
      <c r="AL14" s="99" t="s">
        <v>194</v>
      </c>
      <c r="AM14" s="93" t="s">
        <v>82</v>
      </c>
      <c r="AN14" s="93" t="s">
        <v>82</v>
      </c>
      <c r="AO14" s="93" t="s">
        <v>82</v>
      </c>
      <c r="AP14" s="93" t="s">
        <v>82</v>
      </c>
      <c r="AQ14" s="93" t="s">
        <v>82</v>
      </c>
    </row>
    <row r="15" spans="1:43" x14ac:dyDescent="0.3">
      <c r="A15" s="3">
        <v>11</v>
      </c>
      <c r="B15" s="12" t="s">
        <v>178</v>
      </c>
      <c r="C15" s="95" t="s">
        <v>74</v>
      </c>
      <c r="D15" s="95" t="s">
        <v>77</v>
      </c>
      <c r="E15" s="95" t="s">
        <v>71</v>
      </c>
      <c r="F15" s="95" t="s">
        <v>79</v>
      </c>
      <c r="G15" s="95" t="s">
        <v>82</v>
      </c>
      <c r="H15" s="95" t="s">
        <v>177</v>
      </c>
      <c r="I15" s="95" t="s">
        <v>15</v>
      </c>
      <c r="J15" s="95">
        <v>2</v>
      </c>
      <c r="K15" s="87">
        <v>350000</v>
      </c>
      <c r="L15" s="87">
        <v>169000</v>
      </c>
      <c r="M15" s="87">
        <v>150000</v>
      </c>
      <c r="N15" s="87">
        <v>114000</v>
      </c>
      <c r="O15" s="94" t="s">
        <v>79</v>
      </c>
      <c r="P15" s="94" t="s">
        <v>15</v>
      </c>
      <c r="Q15" s="99" t="s">
        <v>189</v>
      </c>
      <c r="R15" s="86">
        <v>1</v>
      </c>
      <c r="S15" s="87" t="s">
        <v>82</v>
      </c>
      <c r="T15" s="87" t="s">
        <v>82</v>
      </c>
      <c r="U15" s="88" t="s">
        <v>82</v>
      </c>
      <c r="V15" s="99" t="s">
        <v>190</v>
      </c>
      <c r="W15" s="41">
        <v>0</v>
      </c>
      <c r="X15" s="87">
        <v>12000</v>
      </c>
      <c r="Y15" s="99" t="s">
        <v>191</v>
      </c>
      <c r="Z15" s="41">
        <v>0</v>
      </c>
      <c r="AA15" s="87">
        <v>5000</v>
      </c>
      <c r="AB15" s="99" t="s">
        <v>191</v>
      </c>
      <c r="AC15" s="52">
        <v>0</v>
      </c>
      <c r="AD15" s="52">
        <v>0</v>
      </c>
      <c r="AE15" s="52">
        <v>0</v>
      </c>
      <c r="AF15" s="87">
        <v>0</v>
      </c>
      <c r="AG15" s="99" t="s">
        <v>192</v>
      </c>
      <c r="AH15" s="38">
        <v>5000</v>
      </c>
      <c r="AI15" s="99" t="s">
        <v>193</v>
      </c>
      <c r="AJ15" s="87">
        <v>207000</v>
      </c>
      <c r="AK15" s="78">
        <v>200000</v>
      </c>
      <c r="AL15" s="99" t="s">
        <v>194</v>
      </c>
      <c r="AM15" s="93" t="s">
        <v>82</v>
      </c>
      <c r="AN15" s="93" t="s">
        <v>82</v>
      </c>
      <c r="AO15" s="93" t="s">
        <v>82</v>
      </c>
      <c r="AP15" s="93" t="s">
        <v>82</v>
      </c>
      <c r="AQ15" s="93" t="s">
        <v>82</v>
      </c>
    </row>
    <row r="16" spans="1:43" x14ac:dyDescent="0.3">
      <c r="A16" s="3">
        <v>12</v>
      </c>
      <c r="B16" s="12" t="s">
        <v>103</v>
      </c>
      <c r="C16" s="95" t="s">
        <v>74</v>
      </c>
      <c r="D16" s="95" t="s">
        <v>77</v>
      </c>
      <c r="E16" s="95" t="s">
        <v>71</v>
      </c>
      <c r="F16" s="95" t="s">
        <v>79</v>
      </c>
      <c r="G16" s="95" t="s">
        <v>82</v>
      </c>
      <c r="H16" s="95" t="s">
        <v>177</v>
      </c>
      <c r="I16" s="95" t="s">
        <v>79</v>
      </c>
      <c r="J16" s="95">
        <v>2</v>
      </c>
      <c r="K16" s="87">
        <v>350000</v>
      </c>
      <c r="L16" s="87">
        <v>106000</v>
      </c>
      <c r="M16" s="87">
        <v>75000</v>
      </c>
      <c r="N16" s="87">
        <v>66000</v>
      </c>
      <c r="O16" s="94" t="s">
        <v>79</v>
      </c>
      <c r="P16" s="94" t="s">
        <v>15</v>
      </c>
      <c r="Q16" s="99" t="s">
        <v>189</v>
      </c>
      <c r="R16" s="86">
        <v>2</v>
      </c>
      <c r="S16" s="87">
        <v>54000</v>
      </c>
      <c r="T16" s="87">
        <v>25000</v>
      </c>
      <c r="U16" s="87">
        <v>50000</v>
      </c>
      <c r="V16" s="99" t="s">
        <v>190</v>
      </c>
      <c r="W16" s="87">
        <v>142000</v>
      </c>
      <c r="X16" s="87">
        <v>12000</v>
      </c>
      <c r="Y16" s="99" t="s">
        <v>191</v>
      </c>
      <c r="Z16" s="87">
        <v>80000</v>
      </c>
      <c r="AA16" s="87">
        <v>5000</v>
      </c>
      <c r="AB16" s="99" t="s">
        <v>191</v>
      </c>
      <c r="AC16" s="52">
        <v>400000</v>
      </c>
      <c r="AD16" s="52">
        <v>10</v>
      </c>
      <c r="AE16" s="52">
        <v>5</v>
      </c>
      <c r="AF16" s="87">
        <v>0</v>
      </c>
      <c r="AG16" s="99" t="s">
        <v>192</v>
      </c>
      <c r="AH16" s="38">
        <v>5000</v>
      </c>
      <c r="AI16" s="99" t="s">
        <v>193</v>
      </c>
      <c r="AJ16" s="87">
        <v>230000</v>
      </c>
      <c r="AK16" s="78">
        <v>250000</v>
      </c>
      <c r="AL16" s="99" t="s">
        <v>194</v>
      </c>
      <c r="AM16" s="93" t="s">
        <v>82</v>
      </c>
      <c r="AN16" s="93" t="s">
        <v>82</v>
      </c>
      <c r="AO16" s="93" t="s">
        <v>82</v>
      </c>
      <c r="AP16" s="93" t="s">
        <v>82</v>
      </c>
      <c r="AQ16" s="93" t="s">
        <v>82</v>
      </c>
    </row>
    <row r="17" spans="1:43" x14ac:dyDescent="0.3">
      <c r="A17" s="3">
        <v>13</v>
      </c>
      <c r="B17" s="12" t="s">
        <v>104</v>
      </c>
      <c r="C17" s="95" t="s">
        <v>74</v>
      </c>
      <c r="D17" s="95" t="s">
        <v>76</v>
      </c>
      <c r="E17" s="95" t="s">
        <v>71</v>
      </c>
      <c r="F17" s="95" t="s">
        <v>79</v>
      </c>
      <c r="G17" s="95" t="s">
        <v>82</v>
      </c>
      <c r="H17" s="95" t="s">
        <v>177</v>
      </c>
      <c r="I17" s="95" t="s">
        <v>15</v>
      </c>
      <c r="J17" s="95">
        <v>2</v>
      </c>
      <c r="K17" s="87">
        <v>1044000</v>
      </c>
      <c r="L17" s="87">
        <v>515000</v>
      </c>
      <c r="M17" s="87">
        <v>520000</v>
      </c>
      <c r="N17" s="87">
        <v>510000</v>
      </c>
      <c r="O17" s="94" t="s">
        <v>79</v>
      </c>
      <c r="P17" s="94" t="s">
        <v>15</v>
      </c>
      <c r="Q17" s="99" t="s">
        <v>189</v>
      </c>
      <c r="R17" s="86">
        <v>1</v>
      </c>
      <c r="S17" s="87" t="s">
        <v>82</v>
      </c>
      <c r="T17" s="87" t="s">
        <v>82</v>
      </c>
      <c r="U17" s="88" t="s">
        <v>82</v>
      </c>
      <c r="V17" s="99" t="s">
        <v>190</v>
      </c>
      <c r="W17" s="87">
        <v>120000</v>
      </c>
      <c r="X17" s="87">
        <v>12000</v>
      </c>
      <c r="Y17" s="99" t="s">
        <v>191</v>
      </c>
      <c r="Z17" s="41">
        <v>0</v>
      </c>
      <c r="AA17" s="87">
        <v>15000</v>
      </c>
      <c r="AB17" s="99" t="s">
        <v>191</v>
      </c>
      <c r="AC17" s="52">
        <v>0</v>
      </c>
      <c r="AD17" s="52">
        <v>0</v>
      </c>
      <c r="AE17" s="52">
        <v>0</v>
      </c>
      <c r="AF17" s="87">
        <v>0</v>
      </c>
      <c r="AG17" s="99" t="s">
        <v>192</v>
      </c>
      <c r="AH17" s="38" t="s">
        <v>82</v>
      </c>
      <c r="AI17" s="99" t="s">
        <v>193</v>
      </c>
      <c r="AJ17" s="87">
        <v>55000</v>
      </c>
      <c r="AK17" s="78">
        <v>50000</v>
      </c>
      <c r="AL17" s="99" t="s">
        <v>194</v>
      </c>
      <c r="AM17" s="93" t="s">
        <v>82</v>
      </c>
      <c r="AN17" s="93" t="s">
        <v>82</v>
      </c>
      <c r="AO17" s="93" t="s">
        <v>82</v>
      </c>
      <c r="AP17" s="93" t="s">
        <v>82</v>
      </c>
      <c r="AQ17" s="93" t="s">
        <v>82</v>
      </c>
    </row>
    <row r="18" spans="1:43" x14ac:dyDescent="0.3">
      <c r="A18" s="3">
        <v>14</v>
      </c>
      <c r="B18" s="12" t="s">
        <v>110</v>
      </c>
      <c r="C18" s="95" t="s">
        <v>74</v>
      </c>
      <c r="D18" s="95" t="s">
        <v>77</v>
      </c>
      <c r="E18" s="95" t="s">
        <v>71</v>
      </c>
      <c r="F18" s="95" t="s">
        <v>79</v>
      </c>
      <c r="G18" s="95" t="s">
        <v>82</v>
      </c>
      <c r="H18" s="95" t="s">
        <v>177</v>
      </c>
      <c r="I18" s="95" t="s">
        <v>15</v>
      </c>
      <c r="J18" s="95">
        <v>2</v>
      </c>
      <c r="K18" s="87">
        <v>2770000</v>
      </c>
      <c r="L18" s="87">
        <v>1325000</v>
      </c>
      <c r="M18" s="87">
        <v>767200</v>
      </c>
      <c r="N18" s="87">
        <v>690000</v>
      </c>
      <c r="O18" s="94" t="s">
        <v>79</v>
      </c>
      <c r="P18" s="94" t="s">
        <v>15</v>
      </c>
      <c r="Q18" s="99" t="s">
        <v>189</v>
      </c>
      <c r="R18" s="86">
        <v>1</v>
      </c>
      <c r="S18" s="87" t="s">
        <v>82</v>
      </c>
      <c r="T18" s="87" t="s">
        <v>82</v>
      </c>
      <c r="U18" s="88" t="s">
        <v>82</v>
      </c>
      <c r="V18" s="99" t="s">
        <v>190</v>
      </c>
      <c r="W18" s="87">
        <v>203000</v>
      </c>
      <c r="X18" s="87">
        <v>20000</v>
      </c>
      <c r="Y18" s="99" t="s">
        <v>191</v>
      </c>
      <c r="Z18" s="41">
        <v>0</v>
      </c>
      <c r="AA18" s="87">
        <v>5000</v>
      </c>
      <c r="AB18" s="99" t="s">
        <v>191</v>
      </c>
      <c r="AC18" s="52">
        <v>0</v>
      </c>
      <c r="AD18" s="52">
        <v>0</v>
      </c>
      <c r="AE18" s="52">
        <v>0</v>
      </c>
      <c r="AF18" s="87">
        <v>0</v>
      </c>
      <c r="AG18" s="99" t="s">
        <v>192</v>
      </c>
      <c r="AH18" s="38">
        <v>15000</v>
      </c>
      <c r="AI18" s="99" t="s">
        <v>193</v>
      </c>
      <c r="AJ18" s="87">
        <v>335000</v>
      </c>
      <c r="AK18" s="78">
        <v>350000</v>
      </c>
      <c r="AL18" s="99" t="s">
        <v>194</v>
      </c>
      <c r="AM18" s="93" t="s">
        <v>82</v>
      </c>
      <c r="AN18" s="93" t="s">
        <v>82</v>
      </c>
      <c r="AO18" s="93" t="s">
        <v>82</v>
      </c>
      <c r="AP18" s="93" t="s">
        <v>82</v>
      </c>
      <c r="AQ18" s="93" t="s">
        <v>82</v>
      </c>
    </row>
    <row r="19" spans="1:43" x14ac:dyDescent="0.3">
      <c r="A19" s="3">
        <v>15</v>
      </c>
      <c r="B19" s="12" t="s">
        <v>105</v>
      </c>
      <c r="C19" s="95" t="s">
        <v>74</v>
      </c>
      <c r="D19" s="95" t="s">
        <v>77</v>
      </c>
      <c r="E19" s="95" t="s">
        <v>71</v>
      </c>
      <c r="F19" s="95" t="s">
        <v>79</v>
      </c>
      <c r="G19" s="95" t="s">
        <v>82</v>
      </c>
      <c r="H19" s="95" t="s">
        <v>177</v>
      </c>
      <c r="I19" s="95" t="s">
        <v>79</v>
      </c>
      <c r="J19" s="95">
        <v>2</v>
      </c>
      <c r="K19" s="87">
        <v>1080000</v>
      </c>
      <c r="L19" s="87">
        <v>460000</v>
      </c>
      <c r="M19" s="87">
        <v>470000</v>
      </c>
      <c r="N19" s="87">
        <v>570000</v>
      </c>
      <c r="O19" s="94" t="s">
        <v>79</v>
      </c>
      <c r="P19" s="94" t="s">
        <v>15</v>
      </c>
      <c r="Q19" s="99" t="s">
        <v>189</v>
      </c>
      <c r="R19" s="86">
        <v>1</v>
      </c>
      <c r="S19" s="87" t="s">
        <v>82</v>
      </c>
      <c r="T19" s="87" t="s">
        <v>82</v>
      </c>
      <c r="U19" s="87">
        <v>15000</v>
      </c>
      <c r="V19" s="99" t="s">
        <v>190</v>
      </c>
      <c r="W19" s="87">
        <v>160000</v>
      </c>
      <c r="X19" s="87">
        <v>20000</v>
      </c>
      <c r="Y19" s="99" t="s">
        <v>191</v>
      </c>
      <c r="Z19" s="87">
        <v>80000</v>
      </c>
      <c r="AA19" s="87">
        <v>5000</v>
      </c>
      <c r="AB19" s="99" t="s">
        <v>191</v>
      </c>
      <c r="AC19" s="52">
        <v>400000</v>
      </c>
      <c r="AD19" s="52">
        <v>10</v>
      </c>
      <c r="AE19" s="52">
        <v>5</v>
      </c>
      <c r="AF19" s="87">
        <v>0</v>
      </c>
      <c r="AG19" s="99" t="s">
        <v>192</v>
      </c>
      <c r="AH19" s="38">
        <v>5000</v>
      </c>
      <c r="AI19" s="99" t="s">
        <v>193</v>
      </c>
      <c r="AJ19" s="87">
        <v>137000</v>
      </c>
      <c r="AK19" s="78">
        <v>150000</v>
      </c>
      <c r="AL19" s="99" t="s">
        <v>194</v>
      </c>
      <c r="AM19" s="93" t="s">
        <v>82</v>
      </c>
      <c r="AN19" s="93" t="s">
        <v>82</v>
      </c>
      <c r="AO19" s="93" t="s">
        <v>82</v>
      </c>
      <c r="AP19" s="93" t="s">
        <v>82</v>
      </c>
      <c r="AQ19" s="93" t="s">
        <v>82</v>
      </c>
    </row>
    <row r="20" spans="1:43" x14ac:dyDescent="0.3">
      <c r="A20" s="3">
        <v>16</v>
      </c>
      <c r="B20" s="12" t="s">
        <v>106</v>
      </c>
      <c r="C20" s="95" t="s">
        <v>74</v>
      </c>
      <c r="D20" s="95" t="s">
        <v>77</v>
      </c>
      <c r="E20" s="95" t="s">
        <v>71</v>
      </c>
      <c r="F20" s="95" t="s">
        <v>79</v>
      </c>
      <c r="G20" s="95" t="s">
        <v>82</v>
      </c>
      <c r="H20" s="95" t="s">
        <v>177</v>
      </c>
      <c r="I20" s="95" t="s">
        <v>79</v>
      </c>
      <c r="J20" s="95">
        <v>2</v>
      </c>
      <c r="K20" s="87">
        <v>225000</v>
      </c>
      <c r="L20" s="87">
        <v>136500</v>
      </c>
      <c r="M20" s="87" t="s">
        <v>82</v>
      </c>
      <c r="N20" s="87">
        <v>165000</v>
      </c>
      <c r="O20" s="94" t="s">
        <v>79</v>
      </c>
      <c r="P20" s="94" t="s">
        <v>15</v>
      </c>
      <c r="Q20" s="99" t="s">
        <v>189</v>
      </c>
      <c r="R20" s="86">
        <v>2</v>
      </c>
      <c r="S20" s="87" t="s">
        <v>82</v>
      </c>
      <c r="T20" s="87" t="s">
        <v>82</v>
      </c>
      <c r="U20" s="88" t="s">
        <v>82</v>
      </c>
      <c r="V20" s="99" t="s">
        <v>190</v>
      </c>
      <c r="W20" s="41">
        <v>0</v>
      </c>
      <c r="X20" s="87">
        <v>16000</v>
      </c>
      <c r="Y20" s="99" t="s">
        <v>191</v>
      </c>
      <c r="Z20" s="87">
        <v>80000</v>
      </c>
      <c r="AA20" s="87">
        <v>7000</v>
      </c>
      <c r="AB20" s="99" t="s">
        <v>191</v>
      </c>
      <c r="AC20" s="52">
        <v>400000</v>
      </c>
      <c r="AD20" s="52">
        <v>0</v>
      </c>
      <c r="AE20" s="52">
        <v>5</v>
      </c>
      <c r="AF20" s="87">
        <v>0</v>
      </c>
      <c r="AG20" s="99" t="s">
        <v>192</v>
      </c>
      <c r="AH20" s="38">
        <v>5000</v>
      </c>
      <c r="AI20" s="99" t="s">
        <v>193</v>
      </c>
      <c r="AJ20" s="87">
        <v>118000</v>
      </c>
      <c r="AK20" s="78">
        <v>120000</v>
      </c>
      <c r="AL20" s="99" t="s">
        <v>194</v>
      </c>
      <c r="AM20" s="93" t="s">
        <v>82</v>
      </c>
      <c r="AN20" s="93" t="s">
        <v>82</v>
      </c>
      <c r="AO20" s="93" t="s">
        <v>82</v>
      </c>
      <c r="AP20" s="93" t="s">
        <v>82</v>
      </c>
      <c r="AQ20" s="93" t="s">
        <v>82</v>
      </c>
    </row>
    <row r="21" spans="1:43" x14ac:dyDescent="0.3">
      <c r="A21" s="3">
        <v>17</v>
      </c>
      <c r="B21" s="12" t="s">
        <v>111</v>
      </c>
      <c r="C21" s="95" t="s">
        <v>74</v>
      </c>
      <c r="D21" s="95" t="s">
        <v>77</v>
      </c>
      <c r="E21" s="95" t="s">
        <v>71</v>
      </c>
      <c r="F21" s="95" t="s">
        <v>79</v>
      </c>
      <c r="G21" s="95" t="s">
        <v>82</v>
      </c>
      <c r="H21" s="95" t="s">
        <v>177</v>
      </c>
      <c r="I21" s="95" t="s">
        <v>15</v>
      </c>
      <c r="J21" s="95">
        <v>2</v>
      </c>
      <c r="K21" s="87">
        <v>330000</v>
      </c>
      <c r="L21" s="87">
        <v>170000</v>
      </c>
      <c r="M21" s="87">
        <v>100000</v>
      </c>
      <c r="N21" s="87">
        <v>85000</v>
      </c>
      <c r="O21" s="94" t="s">
        <v>79</v>
      </c>
      <c r="P21" s="94" t="s">
        <v>15</v>
      </c>
      <c r="Q21" s="99" t="s">
        <v>189</v>
      </c>
      <c r="R21" s="86">
        <v>1</v>
      </c>
      <c r="S21" s="87" t="s">
        <v>82</v>
      </c>
      <c r="T21" s="87" t="s">
        <v>82</v>
      </c>
      <c r="U21" s="88" t="s">
        <v>82</v>
      </c>
      <c r="V21" s="99" t="s">
        <v>190</v>
      </c>
      <c r="W21" s="41">
        <v>0</v>
      </c>
      <c r="X21" s="41">
        <v>0</v>
      </c>
      <c r="Y21" s="99" t="s">
        <v>191</v>
      </c>
      <c r="Z21" s="41">
        <v>0</v>
      </c>
      <c r="AA21" s="41">
        <v>0</v>
      </c>
      <c r="AB21" s="99" t="s">
        <v>191</v>
      </c>
      <c r="AC21" s="52">
        <v>0</v>
      </c>
      <c r="AD21" s="52">
        <v>0</v>
      </c>
      <c r="AE21" s="52">
        <v>0</v>
      </c>
      <c r="AF21" s="87">
        <v>0</v>
      </c>
      <c r="AG21" s="99" t="s">
        <v>192</v>
      </c>
      <c r="AH21" s="38">
        <v>7000</v>
      </c>
      <c r="AI21" s="99" t="s">
        <v>193</v>
      </c>
      <c r="AJ21" s="87" t="s">
        <v>82</v>
      </c>
      <c r="AK21" s="78" t="s">
        <v>82</v>
      </c>
      <c r="AL21" s="99" t="s">
        <v>194</v>
      </c>
      <c r="AM21" s="93" t="s">
        <v>82</v>
      </c>
      <c r="AN21" s="93" t="s">
        <v>82</v>
      </c>
      <c r="AO21" s="93" t="s">
        <v>82</v>
      </c>
      <c r="AP21" s="93" t="s">
        <v>82</v>
      </c>
      <c r="AQ21" s="93" t="s">
        <v>82</v>
      </c>
    </row>
    <row r="22" spans="1:43" x14ac:dyDescent="0.3">
      <c r="A22" s="3">
        <v>18</v>
      </c>
      <c r="B22" s="12" t="s">
        <v>107</v>
      </c>
      <c r="C22" s="95" t="s">
        <v>74</v>
      </c>
      <c r="D22" s="95" t="s">
        <v>77</v>
      </c>
      <c r="E22" s="95" t="s">
        <v>71</v>
      </c>
      <c r="F22" s="95" t="s">
        <v>79</v>
      </c>
      <c r="G22" s="95" t="s">
        <v>82</v>
      </c>
      <c r="H22" s="95" t="s">
        <v>177</v>
      </c>
      <c r="I22" s="95" t="s">
        <v>15</v>
      </c>
      <c r="J22" s="95">
        <v>2</v>
      </c>
      <c r="K22" s="87">
        <v>822000</v>
      </c>
      <c r="L22" s="87">
        <v>502000</v>
      </c>
      <c r="M22" s="90" t="s">
        <v>82</v>
      </c>
      <c r="N22" s="90" t="s">
        <v>82</v>
      </c>
      <c r="O22" s="94" t="s">
        <v>79</v>
      </c>
      <c r="P22" s="94" t="s">
        <v>15</v>
      </c>
      <c r="Q22" s="99" t="s">
        <v>189</v>
      </c>
      <c r="R22" s="86">
        <v>2</v>
      </c>
      <c r="S22" s="87">
        <v>40000</v>
      </c>
      <c r="T22" s="87" t="s">
        <v>82</v>
      </c>
      <c r="U22" s="87">
        <v>35000</v>
      </c>
      <c r="V22" s="99" t="s">
        <v>190</v>
      </c>
      <c r="W22" s="87">
        <v>197000</v>
      </c>
      <c r="X22" s="87">
        <v>12000</v>
      </c>
      <c r="Y22" s="99" t="s">
        <v>191</v>
      </c>
      <c r="Z22" s="41">
        <v>0</v>
      </c>
      <c r="AA22" s="87">
        <v>7000</v>
      </c>
      <c r="AB22" s="99" t="s">
        <v>191</v>
      </c>
      <c r="AC22" s="52">
        <v>0</v>
      </c>
      <c r="AD22" s="52">
        <v>0</v>
      </c>
      <c r="AE22" s="52">
        <v>0</v>
      </c>
      <c r="AF22" s="87">
        <v>0</v>
      </c>
      <c r="AG22" s="99" t="s">
        <v>192</v>
      </c>
      <c r="AH22" s="38">
        <v>7000</v>
      </c>
      <c r="AI22" s="99" t="s">
        <v>193</v>
      </c>
      <c r="AJ22" s="87">
        <v>190000</v>
      </c>
      <c r="AK22" s="78">
        <v>200000</v>
      </c>
      <c r="AL22" s="99" t="s">
        <v>194</v>
      </c>
      <c r="AM22" s="93" t="s">
        <v>82</v>
      </c>
      <c r="AN22" s="93" t="s">
        <v>82</v>
      </c>
      <c r="AO22" s="93" t="s">
        <v>82</v>
      </c>
      <c r="AP22" s="93" t="s">
        <v>82</v>
      </c>
      <c r="AQ22" s="93" t="s">
        <v>82</v>
      </c>
    </row>
    <row r="23" spans="1:43" x14ac:dyDescent="0.3">
      <c r="A23" s="3">
        <v>19</v>
      </c>
      <c r="B23" s="12" t="s">
        <v>179</v>
      </c>
      <c r="C23" s="95" t="s">
        <v>74</v>
      </c>
      <c r="D23" s="95" t="s">
        <v>76</v>
      </c>
      <c r="E23" s="95" t="s">
        <v>71</v>
      </c>
      <c r="F23" s="95" t="s">
        <v>79</v>
      </c>
      <c r="G23" s="95" t="s">
        <v>82</v>
      </c>
      <c r="H23" s="95" t="s">
        <v>177</v>
      </c>
      <c r="I23" s="95" t="s">
        <v>15</v>
      </c>
      <c r="J23" s="95">
        <v>2</v>
      </c>
      <c r="K23" s="87">
        <v>675000</v>
      </c>
      <c r="L23" s="87">
        <v>327500</v>
      </c>
      <c r="M23" s="87">
        <v>250000</v>
      </c>
      <c r="N23" s="87">
        <v>174000</v>
      </c>
      <c r="O23" s="94" t="s">
        <v>79</v>
      </c>
      <c r="P23" s="94" t="s">
        <v>15</v>
      </c>
      <c r="Q23" s="99" t="s">
        <v>189</v>
      </c>
      <c r="R23" s="86">
        <v>1</v>
      </c>
      <c r="S23" s="87" t="s">
        <v>82</v>
      </c>
      <c r="T23" s="87" t="s">
        <v>116</v>
      </c>
      <c r="U23" s="88" t="s">
        <v>82</v>
      </c>
      <c r="V23" s="99" t="s">
        <v>190</v>
      </c>
      <c r="W23" s="41">
        <v>0</v>
      </c>
      <c r="X23" s="41">
        <v>0</v>
      </c>
      <c r="Y23" s="99" t="s">
        <v>191</v>
      </c>
      <c r="Z23" s="41">
        <v>0</v>
      </c>
      <c r="AA23" s="41">
        <v>0</v>
      </c>
      <c r="AB23" s="99" t="s">
        <v>191</v>
      </c>
      <c r="AC23" s="52">
        <v>0</v>
      </c>
      <c r="AD23" s="52">
        <v>0</v>
      </c>
      <c r="AE23" s="52">
        <v>0</v>
      </c>
      <c r="AF23" s="87">
        <v>0</v>
      </c>
      <c r="AG23" s="99" t="s">
        <v>192</v>
      </c>
      <c r="AH23" s="38" t="s">
        <v>82</v>
      </c>
      <c r="AI23" s="99" t="s">
        <v>193</v>
      </c>
      <c r="AJ23" s="87" t="s">
        <v>82</v>
      </c>
      <c r="AK23" s="78" t="s">
        <v>82</v>
      </c>
      <c r="AL23" s="99" t="s">
        <v>194</v>
      </c>
      <c r="AM23" s="93" t="s">
        <v>82</v>
      </c>
      <c r="AN23" s="93" t="s">
        <v>82</v>
      </c>
      <c r="AO23" s="93" t="s">
        <v>82</v>
      </c>
      <c r="AP23" s="93" t="s">
        <v>82</v>
      </c>
      <c r="AQ23" s="93" t="s">
        <v>82</v>
      </c>
    </row>
    <row r="24" spans="1:43" x14ac:dyDescent="0.3">
      <c r="A24" s="3">
        <v>20</v>
      </c>
      <c r="B24" s="12" t="s">
        <v>108</v>
      </c>
      <c r="C24" s="95" t="s">
        <v>72</v>
      </c>
      <c r="D24" s="95" t="s">
        <v>77</v>
      </c>
      <c r="E24" s="95" t="s">
        <v>71</v>
      </c>
      <c r="F24" s="95" t="s">
        <v>79</v>
      </c>
      <c r="G24" s="95" t="s">
        <v>82</v>
      </c>
      <c r="H24" s="95" t="s">
        <v>177</v>
      </c>
      <c r="I24" s="95" t="s">
        <v>79</v>
      </c>
      <c r="J24" s="95">
        <v>2</v>
      </c>
      <c r="K24" s="87">
        <v>1300000</v>
      </c>
      <c r="L24" s="87">
        <v>524000</v>
      </c>
      <c r="M24" s="87">
        <v>495000</v>
      </c>
      <c r="N24" s="87">
        <v>363000</v>
      </c>
      <c r="O24" s="94" t="s">
        <v>79</v>
      </c>
      <c r="P24" s="94" t="s">
        <v>15</v>
      </c>
      <c r="Q24" s="99" t="s">
        <v>189</v>
      </c>
      <c r="R24" s="86">
        <v>1</v>
      </c>
      <c r="S24" s="87">
        <v>12000</v>
      </c>
      <c r="T24" s="87">
        <v>25000</v>
      </c>
      <c r="U24" s="87">
        <v>30000</v>
      </c>
      <c r="V24" s="99" t="s">
        <v>190</v>
      </c>
      <c r="W24" s="87">
        <v>180000</v>
      </c>
      <c r="X24" s="87">
        <v>20000</v>
      </c>
      <c r="Y24" s="99" t="s">
        <v>191</v>
      </c>
      <c r="Z24" s="87">
        <v>140000</v>
      </c>
      <c r="AA24" s="87">
        <v>5000</v>
      </c>
      <c r="AB24" s="99" t="s">
        <v>191</v>
      </c>
      <c r="AC24" s="52">
        <v>700000</v>
      </c>
      <c r="AD24" s="52">
        <v>10</v>
      </c>
      <c r="AE24" s="52">
        <v>5</v>
      </c>
      <c r="AF24" s="87">
        <v>0</v>
      </c>
      <c r="AG24" s="99" t="s">
        <v>192</v>
      </c>
      <c r="AH24" s="38">
        <v>7000</v>
      </c>
      <c r="AI24" s="99" t="s">
        <v>193</v>
      </c>
      <c r="AJ24" s="87" t="s">
        <v>82</v>
      </c>
      <c r="AK24" s="78" t="s">
        <v>82</v>
      </c>
      <c r="AL24" s="99" t="s">
        <v>194</v>
      </c>
      <c r="AM24" s="93" t="s">
        <v>82</v>
      </c>
      <c r="AN24" s="93" t="s">
        <v>82</v>
      </c>
      <c r="AO24" s="93" t="s">
        <v>82</v>
      </c>
      <c r="AP24" s="93" t="s">
        <v>82</v>
      </c>
      <c r="AQ24" s="93" t="s">
        <v>82</v>
      </c>
    </row>
    <row r="25" spans="1:43" x14ac:dyDescent="0.3">
      <c r="A25" s="3">
        <v>21</v>
      </c>
      <c r="B25" s="12" t="s">
        <v>112</v>
      </c>
      <c r="C25" s="95" t="s">
        <v>73</v>
      </c>
      <c r="D25" s="95" t="s">
        <v>77</v>
      </c>
      <c r="E25" s="95" t="s">
        <v>71</v>
      </c>
      <c r="F25" s="95" t="s">
        <v>79</v>
      </c>
      <c r="G25" s="95" t="s">
        <v>82</v>
      </c>
      <c r="H25" s="95" t="s">
        <v>177</v>
      </c>
      <c r="I25" s="95" t="s">
        <v>15</v>
      </c>
      <c r="J25" s="95">
        <v>2</v>
      </c>
      <c r="K25" s="87">
        <v>300000</v>
      </c>
      <c r="L25" s="87">
        <v>127000</v>
      </c>
      <c r="M25" s="87">
        <v>157500</v>
      </c>
      <c r="N25" s="87">
        <v>102000</v>
      </c>
      <c r="O25" s="94" t="s">
        <v>79</v>
      </c>
      <c r="P25" s="94" t="s">
        <v>15</v>
      </c>
      <c r="Q25" s="99" t="s">
        <v>189</v>
      </c>
      <c r="R25" s="86">
        <v>1</v>
      </c>
      <c r="S25" s="87" t="s">
        <v>82</v>
      </c>
      <c r="T25" s="87" t="s">
        <v>82</v>
      </c>
      <c r="U25" s="87">
        <v>55000</v>
      </c>
      <c r="V25" s="99" t="s">
        <v>190</v>
      </c>
      <c r="W25" s="87">
        <v>158000</v>
      </c>
      <c r="X25" s="87">
        <v>16000</v>
      </c>
      <c r="Y25" s="99" t="s">
        <v>191</v>
      </c>
      <c r="Z25" s="41">
        <v>0</v>
      </c>
      <c r="AA25" s="87">
        <v>5000</v>
      </c>
      <c r="AB25" s="99" t="s">
        <v>191</v>
      </c>
      <c r="AC25" s="52">
        <v>0</v>
      </c>
      <c r="AD25" s="52">
        <v>0</v>
      </c>
      <c r="AE25" s="52">
        <v>0</v>
      </c>
      <c r="AF25" s="87">
        <v>0</v>
      </c>
      <c r="AG25" s="99" t="s">
        <v>192</v>
      </c>
      <c r="AH25" s="38">
        <v>5000</v>
      </c>
      <c r="AI25" s="99" t="s">
        <v>193</v>
      </c>
      <c r="AJ25" s="87">
        <v>68500</v>
      </c>
      <c r="AK25" s="78">
        <v>80000</v>
      </c>
      <c r="AL25" s="99" t="s">
        <v>194</v>
      </c>
      <c r="AM25" s="93" t="s">
        <v>82</v>
      </c>
      <c r="AN25" s="93" t="s">
        <v>82</v>
      </c>
      <c r="AO25" s="93" t="s">
        <v>82</v>
      </c>
      <c r="AP25" s="93" t="s">
        <v>82</v>
      </c>
      <c r="AQ25" s="93" t="s">
        <v>82</v>
      </c>
    </row>
    <row r="26" spans="1:43" x14ac:dyDescent="0.3">
      <c r="A26" s="3">
        <v>22</v>
      </c>
      <c r="B26" s="12" t="s">
        <v>113</v>
      </c>
      <c r="C26" s="95" t="s">
        <v>74</v>
      </c>
      <c r="D26" s="95" t="s">
        <v>77</v>
      </c>
      <c r="E26" s="95" t="s">
        <v>71</v>
      </c>
      <c r="F26" s="95" t="s">
        <v>79</v>
      </c>
      <c r="G26" s="95" t="s">
        <v>82</v>
      </c>
      <c r="H26" s="95" t="s">
        <v>177</v>
      </c>
      <c r="I26" s="95" t="s">
        <v>15</v>
      </c>
      <c r="J26" s="95">
        <v>2</v>
      </c>
      <c r="K26" s="87">
        <v>1250000</v>
      </c>
      <c r="L26" s="87">
        <v>743000</v>
      </c>
      <c r="M26" s="87">
        <v>480000</v>
      </c>
      <c r="N26" s="87">
        <v>408500</v>
      </c>
      <c r="O26" s="94" t="s">
        <v>79</v>
      </c>
      <c r="P26" s="94" t="s">
        <v>15</v>
      </c>
      <c r="Q26" s="99" t="s">
        <v>189</v>
      </c>
      <c r="R26" s="86">
        <v>1</v>
      </c>
      <c r="S26" s="87" t="s">
        <v>82</v>
      </c>
      <c r="T26" s="87" t="s">
        <v>82</v>
      </c>
      <c r="U26" s="87">
        <v>40000</v>
      </c>
      <c r="V26" s="99" t="s">
        <v>190</v>
      </c>
      <c r="W26" s="87">
        <v>120000</v>
      </c>
      <c r="X26" s="87">
        <v>12000</v>
      </c>
      <c r="Y26" s="99" t="s">
        <v>191</v>
      </c>
      <c r="Z26" s="41">
        <v>0</v>
      </c>
      <c r="AA26" s="87">
        <v>5000</v>
      </c>
      <c r="AB26" s="99" t="s">
        <v>191</v>
      </c>
      <c r="AC26" s="52">
        <v>0</v>
      </c>
      <c r="AD26" s="52">
        <v>0</v>
      </c>
      <c r="AE26" s="52">
        <v>0</v>
      </c>
      <c r="AF26" s="87">
        <v>0</v>
      </c>
      <c r="AG26" s="99" t="s">
        <v>192</v>
      </c>
      <c r="AH26" s="38">
        <v>5000</v>
      </c>
      <c r="AI26" s="99" t="s">
        <v>193</v>
      </c>
      <c r="AJ26" s="87">
        <v>100000</v>
      </c>
      <c r="AK26" s="78">
        <v>40000</v>
      </c>
      <c r="AL26" s="99" t="s">
        <v>194</v>
      </c>
      <c r="AM26" s="93" t="s">
        <v>82</v>
      </c>
      <c r="AN26" s="93" t="s">
        <v>82</v>
      </c>
      <c r="AO26" s="93" t="s">
        <v>82</v>
      </c>
      <c r="AP26" s="93" t="s">
        <v>82</v>
      </c>
      <c r="AQ26" s="93" t="s">
        <v>82</v>
      </c>
    </row>
    <row r="27" spans="1:43" x14ac:dyDescent="0.3">
      <c r="A27" s="3">
        <v>23</v>
      </c>
      <c r="B27" s="12" t="s">
        <v>114</v>
      </c>
      <c r="C27" s="95" t="s">
        <v>74</v>
      </c>
      <c r="D27" s="95" t="s">
        <v>77</v>
      </c>
      <c r="E27" s="95" t="s">
        <v>71</v>
      </c>
      <c r="F27" s="95" t="s">
        <v>79</v>
      </c>
      <c r="G27" s="95" t="s">
        <v>82</v>
      </c>
      <c r="H27" s="95" t="s">
        <v>177</v>
      </c>
      <c r="I27" s="95" t="s">
        <v>15</v>
      </c>
      <c r="J27" s="95">
        <v>2</v>
      </c>
      <c r="K27" s="87">
        <v>675000</v>
      </c>
      <c r="L27" s="87">
        <v>275000</v>
      </c>
      <c r="M27" s="87">
        <v>250000</v>
      </c>
      <c r="N27" s="87">
        <v>18000</v>
      </c>
      <c r="O27" s="94" t="s">
        <v>79</v>
      </c>
      <c r="P27" s="94" t="s">
        <v>15</v>
      </c>
      <c r="Q27" s="99" t="s">
        <v>189</v>
      </c>
      <c r="R27" s="86">
        <v>1</v>
      </c>
      <c r="S27" s="87" t="s">
        <v>82</v>
      </c>
      <c r="T27" s="87" t="s">
        <v>82</v>
      </c>
      <c r="U27" s="87" t="s">
        <v>82</v>
      </c>
      <c r="V27" s="99" t="s">
        <v>190</v>
      </c>
      <c r="W27" s="41">
        <v>0</v>
      </c>
      <c r="X27" s="41">
        <v>0</v>
      </c>
      <c r="Y27" s="99" t="s">
        <v>191</v>
      </c>
      <c r="Z27" s="41">
        <v>0</v>
      </c>
      <c r="AA27" s="41">
        <v>0</v>
      </c>
      <c r="AB27" s="99" t="s">
        <v>191</v>
      </c>
      <c r="AC27" s="52">
        <v>0</v>
      </c>
      <c r="AD27" s="52">
        <v>0</v>
      </c>
      <c r="AE27" s="52">
        <v>0</v>
      </c>
      <c r="AF27" s="87">
        <v>0</v>
      </c>
      <c r="AG27" s="99" t="s">
        <v>192</v>
      </c>
      <c r="AH27" s="38">
        <v>5000</v>
      </c>
      <c r="AI27" s="99" t="s">
        <v>193</v>
      </c>
      <c r="AJ27" s="87" t="s">
        <v>82</v>
      </c>
      <c r="AK27" s="78" t="s">
        <v>82</v>
      </c>
      <c r="AL27" s="99" t="s">
        <v>194</v>
      </c>
      <c r="AM27" s="93" t="s">
        <v>82</v>
      </c>
      <c r="AN27" s="93" t="s">
        <v>82</v>
      </c>
      <c r="AO27" s="93" t="s">
        <v>82</v>
      </c>
      <c r="AP27" s="93" t="s">
        <v>82</v>
      </c>
      <c r="AQ27" s="93" t="s">
        <v>82</v>
      </c>
    </row>
    <row r="28" spans="1:43" x14ac:dyDescent="0.3">
      <c r="A28" s="3">
        <v>24</v>
      </c>
      <c r="B28" s="12" t="s">
        <v>109</v>
      </c>
      <c r="C28" s="95" t="s">
        <v>74</v>
      </c>
      <c r="D28" s="95" t="s">
        <v>76</v>
      </c>
      <c r="E28" s="95" t="s">
        <v>71</v>
      </c>
      <c r="F28" s="95" t="s">
        <v>79</v>
      </c>
      <c r="G28" s="95" t="s">
        <v>82</v>
      </c>
      <c r="H28" s="95" t="s">
        <v>177</v>
      </c>
      <c r="I28" s="95" t="s">
        <v>15</v>
      </c>
      <c r="J28" s="95">
        <v>2</v>
      </c>
      <c r="K28" s="87">
        <v>1050000</v>
      </c>
      <c r="L28" s="87">
        <v>470000</v>
      </c>
      <c r="M28" s="87">
        <v>500000</v>
      </c>
      <c r="N28" s="87">
        <v>298000</v>
      </c>
      <c r="O28" s="94" t="s">
        <v>79</v>
      </c>
      <c r="P28" s="94" t="s">
        <v>15</v>
      </c>
      <c r="Q28" s="99" t="s">
        <v>189</v>
      </c>
      <c r="R28" s="86">
        <v>1</v>
      </c>
      <c r="S28" s="87" t="s">
        <v>82</v>
      </c>
      <c r="T28" s="87" t="s">
        <v>82</v>
      </c>
      <c r="U28" s="87" t="s">
        <v>82</v>
      </c>
      <c r="V28" s="99" t="s">
        <v>190</v>
      </c>
      <c r="W28" s="41">
        <v>0</v>
      </c>
      <c r="X28" s="41">
        <v>0</v>
      </c>
      <c r="Y28" s="99" t="s">
        <v>191</v>
      </c>
      <c r="Z28" s="41">
        <v>0</v>
      </c>
      <c r="AA28" s="41">
        <v>0</v>
      </c>
      <c r="AB28" s="99" t="s">
        <v>191</v>
      </c>
      <c r="AC28" s="52">
        <v>0</v>
      </c>
      <c r="AD28" s="52">
        <v>0</v>
      </c>
      <c r="AE28" s="52">
        <v>0</v>
      </c>
      <c r="AF28" s="87">
        <v>0</v>
      </c>
      <c r="AG28" s="99" t="s">
        <v>192</v>
      </c>
      <c r="AH28" s="38" t="s">
        <v>82</v>
      </c>
      <c r="AI28" s="99" t="s">
        <v>193</v>
      </c>
      <c r="AJ28" s="87" t="s">
        <v>82</v>
      </c>
      <c r="AK28" s="78" t="s">
        <v>82</v>
      </c>
      <c r="AL28" s="99" t="s">
        <v>194</v>
      </c>
      <c r="AM28" s="93" t="s">
        <v>82</v>
      </c>
      <c r="AN28" s="93" t="s">
        <v>82</v>
      </c>
      <c r="AO28" s="93" t="s">
        <v>82</v>
      </c>
      <c r="AP28" s="93" t="s">
        <v>82</v>
      </c>
      <c r="AQ28" s="93" t="s">
        <v>82</v>
      </c>
    </row>
    <row r="29" spans="1:43" x14ac:dyDescent="0.3">
      <c r="A29" s="3">
        <v>25</v>
      </c>
      <c r="B29" s="12" t="s">
        <v>115</v>
      </c>
      <c r="C29" s="95" t="s">
        <v>75</v>
      </c>
      <c r="D29" s="95" t="s">
        <v>77</v>
      </c>
      <c r="E29" s="95" t="s">
        <v>71</v>
      </c>
      <c r="F29" s="95" t="s">
        <v>79</v>
      </c>
      <c r="G29" s="95" t="s">
        <v>82</v>
      </c>
      <c r="H29" s="95" t="s">
        <v>177</v>
      </c>
      <c r="I29" s="95" t="s">
        <v>79</v>
      </c>
      <c r="J29" s="95">
        <v>2</v>
      </c>
      <c r="K29" s="87" t="s">
        <v>82</v>
      </c>
      <c r="L29" s="87" t="s">
        <v>82</v>
      </c>
      <c r="M29" s="87">
        <v>408000</v>
      </c>
      <c r="N29" s="87">
        <v>388000</v>
      </c>
      <c r="O29" s="94" t="s">
        <v>15</v>
      </c>
      <c r="P29" s="94" t="s">
        <v>15</v>
      </c>
      <c r="Q29" s="99" t="s">
        <v>189</v>
      </c>
      <c r="R29" s="86">
        <v>1</v>
      </c>
      <c r="S29" s="87" t="s">
        <v>82</v>
      </c>
      <c r="T29" s="87" t="s">
        <v>82</v>
      </c>
      <c r="U29" s="87">
        <v>40000</v>
      </c>
      <c r="V29" s="99" t="s">
        <v>190</v>
      </c>
      <c r="W29" s="87">
        <v>150000</v>
      </c>
      <c r="X29" s="87">
        <v>20000</v>
      </c>
      <c r="Y29" s="99" t="s">
        <v>191</v>
      </c>
      <c r="Z29" s="87">
        <v>80000</v>
      </c>
      <c r="AA29" s="87">
        <v>7000</v>
      </c>
      <c r="AB29" s="99" t="s">
        <v>191</v>
      </c>
      <c r="AC29" s="52">
        <v>400000</v>
      </c>
      <c r="AD29" s="52">
        <v>10</v>
      </c>
      <c r="AE29" s="52">
        <v>5</v>
      </c>
      <c r="AF29" s="87">
        <v>0</v>
      </c>
      <c r="AG29" s="99" t="s">
        <v>192</v>
      </c>
      <c r="AH29" s="38" t="s">
        <v>82</v>
      </c>
      <c r="AI29" s="99" t="s">
        <v>193</v>
      </c>
      <c r="AJ29" s="87">
        <v>19000</v>
      </c>
      <c r="AK29" s="78">
        <v>30000</v>
      </c>
      <c r="AL29" s="99" t="s">
        <v>194</v>
      </c>
      <c r="AM29" s="93" t="s">
        <v>82</v>
      </c>
      <c r="AN29" s="93" t="s">
        <v>82</v>
      </c>
      <c r="AO29" s="93" t="s">
        <v>82</v>
      </c>
      <c r="AP29" s="93" t="s">
        <v>82</v>
      </c>
      <c r="AQ29" s="93" t="s">
        <v>82</v>
      </c>
    </row>
    <row r="30" spans="1:43" x14ac:dyDescent="0.3">
      <c r="A30" s="3">
        <v>26</v>
      </c>
      <c r="B30" s="12" t="s">
        <v>117</v>
      </c>
      <c r="C30" s="95" t="s">
        <v>75</v>
      </c>
      <c r="D30" s="95" t="s">
        <v>77</v>
      </c>
      <c r="E30" s="95" t="s">
        <v>71</v>
      </c>
      <c r="F30" s="95" t="s">
        <v>79</v>
      </c>
      <c r="G30" s="95" t="s">
        <v>82</v>
      </c>
      <c r="H30" s="95" t="s">
        <v>67</v>
      </c>
      <c r="I30" s="95" t="s">
        <v>15</v>
      </c>
      <c r="J30" s="95">
        <v>1</v>
      </c>
      <c r="K30" s="87">
        <v>1800000</v>
      </c>
      <c r="L30" s="87">
        <v>325000</v>
      </c>
      <c r="M30" s="87">
        <v>1490000</v>
      </c>
      <c r="N30" s="87">
        <v>405000</v>
      </c>
      <c r="O30" s="94" t="s">
        <v>124</v>
      </c>
      <c r="P30" s="94" t="s">
        <v>15</v>
      </c>
      <c r="Q30" s="99" t="s">
        <v>195</v>
      </c>
      <c r="R30" s="86">
        <v>2</v>
      </c>
      <c r="S30" s="38">
        <v>5000</v>
      </c>
      <c r="T30" s="58">
        <v>1000</v>
      </c>
      <c r="U30" s="87" t="s">
        <v>82</v>
      </c>
      <c r="V30" s="99" t="s">
        <v>196</v>
      </c>
      <c r="W30" s="38">
        <v>761000</v>
      </c>
      <c r="X30" s="96">
        <v>20000</v>
      </c>
      <c r="Y30" s="99" t="s">
        <v>197</v>
      </c>
      <c r="Z30" s="38">
        <v>0</v>
      </c>
      <c r="AA30" s="38">
        <v>20000</v>
      </c>
      <c r="AB30" s="99" t="s">
        <v>197</v>
      </c>
      <c r="AC30" s="38">
        <v>0</v>
      </c>
      <c r="AD30" s="38">
        <v>0.1</v>
      </c>
      <c r="AE30" s="38">
        <v>0.1</v>
      </c>
      <c r="AF30" s="87" t="s">
        <v>82</v>
      </c>
      <c r="AG30" s="99" t="s">
        <v>198</v>
      </c>
      <c r="AH30" s="54">
        <v>5000</v>
      </c>
      <c r="AI30" s="38" t="s">
        <v>82</v>
      </c>
      <c r="AJ30" s="87">
        <v>240000</v>
      </c>
      <c r="AK30" s="71">
        <v>300000</v>
      </c>
      <c r="AL30" s="99" t="s">
        <v>199</v>
      </c>
      <c r="AM30" s="93" t="s">
        <v>82</v>
      </c>
      <c r="AN30" s="93" t="s">
        <v>82</v>
      </c>
      <c r="AO30" s="93" t="s">
        <v>82</v>
      </c>
      <c r="AP30" s="93" t="s">
        <v>82</v>
      </c>
      <c r="AQ30" s="93" t="s">
        <v>82</v>
      </c>
    </row>
    <row r="31" spans="1:43" x14ac:dyDescent="0.3">
      <c r="A31" s="3">
        <v>27</v>
      </c>
      <c r="B31" s="12" t="s">
        <v>118</v>
      </c>
      <c r="C31" s="95" t="s">
        <v>75</v>
      </c>
      <c r="D31" s="95" t="s">
        <v>76</v>
      </c>
      <c r="E31" s="95" t="s">
        <v>71</v>
      </c>
      <c r="F31" s="95" t="s">
        <v>79</v>
      </c>
      <c r="G31" s="95" t="s">
        <v>82</v>
      </c>
      <c r="H31" s="95" t="s">
        <v>67</v>
      </c>
      <c r="I31" s="95" t="s">
        <v>15</v>
      </c>
      <c r="J31" s="95">
        <v>1</v>
      </c>
      <c r="K31" s="87">
        <v>792000</v>
      </c>
      <c r="L31" s="87">
        <v>655000</v>
      </c>
      <c r="M31" s="87">
        <v>490000</v>
      </c>
      <c r="N31" s="87">
        <v>483000</v>
      </c>
      <c r="O31" s="94" t="s">
        <v>124</v>
      </c>
      <c r="P31" s="94" t="s">
        <v>15</v>
      </c>
      <c r="Q31" s="99" t="s">
        <v>195</v>
      </c>
      <c r="R31" s="86">
        <v>1</v>
      </c>
      <c r="S31" s="38">
        <v>10000</v>
      </c>
      <c r="T31" s="58">
        <v>7000</v>
      </c>
      <c r="U31" s="87" t="s">
        <v>82</v>
      </c>
      <c r="V31" s="99" t="s">
        <v>196</v>
      </c>
      <c r="W31" s="38">
        <v>4000</v>
      </c>
      <c r="X31" s="96">
        <v>20000</v>
      </c>
      <c r="Y31" s="99" t="s">
        <v>197</v>
      </c>
      <c r="Z31" s="41">
        <v>0</v>
      </c>
      <c r="AA31" s="38">
        <v>20000</v>
      </c>
      <c r="AB31" s="99" t="s">
        <v>197</v>
      </c>
      <c r="AC31" s="38">
        <v>0</v>
      </c>
      <c r="AD31" s="38">
        <v>0.1</v>
      </c>
      <c r="AE31" s="38">
        <v>0.1</v>
      </c>
      <c r="AF31" s="87" t="s">
        <v>82</v>
      </c>
      <c r="AG31" s="99" t="s">
        <v>198</v>
      </c>
      <c r="AH31" s="54">
        <v>5000</v>
      </c>
      <c r="AI31" s="38" t="s">
        <v>82</v>
      </c>
      <c r="AJ31" s="49" t="s">
        <v>82</v>
      </c>
      <c r="AK31" s="72" t="s">
        <v>82</v>
      </c>
      <c r="AL31" s="99" t="s">
        <v>199</v>
      </c>
      <c r="AM31" s="93" t="s">
        <v>82</v>
      </c>
      <c r="AN31" s="93" t="s">
        <v>82</v>
      </c>
      <c r="AO31" s="93" t="s">
        <v>82</v>
      </c>
      <c r="AP31" s="93" t="s">
        <v>82</v>
      </c>
      <c r="AQ31" s="93" t="s">
        <v>82</v>
      </c>
    </row>
    <row r="32" spans="1:43" x14ac:dyDescent="0.3">
      <c r="A32" s="3">
        <v>28</v>
      </c>
      <c r="B32" s="12" t="s">
        <v>119</v>
      </c>
      <c r="C32" s="95" t="s">
        <v>75</v>
      </c>
      <c r="D32" s="95" t="s">
        <v>77</v>
      </c>
      <c r="E32" s="95" t="s">
        <v>71</v>
      </c>
      <c r="F32" s="95" t="s">
        <v>79</v>
      </c>
      <c r="G32" s="95" t="s">
        <v>82</v>
      </c>
      <c r="H32" s="95" t="s">
        <v>67</v>
      </c>
      <c r="I32" s="95" t="s">
        <v>15</v>
      </c>
      <c r="J32" s="95">
        <v>1</v>
      </c>
      <c r="K32" s="87">
        <v>1400000</v>
      </c>
      <c r="L32" s="87">
        <v>420000</v>
      </c>
      <c r="M32" s="87">
        <v>405000</v>
      </c>
      <c r="N32" s="87">
        <v>384000</v>
      </c>
      <c r="O32" s="94" t="s">
        <v>124</v>
      </c>
      <c r="P32" s="94" t="s">
        <v>15</v>
      </c>
      <c r="Q32" s="99" t="s">
        <v>195</v>
      </c>
      <c r="R32" s="86">
        <v>1</v>
      </c>
      <c r="S32" s="38">
        <v>10000</v>
      </c>
      <c r="T32" s="58">
        <v>3000</v>
      </c>
      <c r="U32" s="87" t="s">
        <v>82</v>
      </c>
      <c r="V32" s="99" t="s">
        <v>196</v>
      </c>
      <c r="W32" s="38">
        <v>19000</v>
      </c>
      <c r="X32" s="96">
        <v>40000</v>
      </c>
      <c r="Y32" s="99" t="s">
        <v>197</v>
      </c>
      <c r="Z32" s="41">
        <v>0</v>
      </c>
      <c r="AA32" s="38">
        <v>30000</v>
      </c>
      <c r="AB32" s="99" t="s">
        <v>197</v>
      </c>
      <c r="AC32" s="38">
        <v>0</v>
      </c>
      <c r="AD32" s="38">
        <v>0.1</v>
      </c>
      <c r="AE32" s="38">
        <v>0.1</v>
      </c>
      <c r="AF32" s="87" t="s">
        <v>82</v>
      </c>
      <c r="AG32" s="99" t="s">
        <v>198</v>
      </c>
      <c r="AH32" s="54">
        <v>10000</v>
      </c>
      <c r="AI32" s="38" t="s">
        <v>82</v>
      </c>
      <c r="AJ32" s="87">
        <v>200000</v>
      </c>
      <c r="AK32" s="72">
        <v>350000</v>
      </c>
      <c r="AL32" s="99" t="s">
        <v>199</v>
      </c>
      <c r="AM32" s="93" t="s">
        <v>82</v>
      </c>
      <c r="AN32" s="93" t="s">
        <v>82</v>
      </c>
      <c r="AO32" s="93" t="s">
        <v>82</v>
      </c>
      <c r="AP32" s="93" t="s">
        <v>82</v>
      </c>
      <c r="AQ32" s="93" t="s">
        <v>82</v>
      </c>
    </row>
    <row r="33" spans="1:43" x14ac:dyDescent="0.3">
      <c r="A33" s="3">
        <v>29</v>
      </c>
      <c r="B33" s="12" t="s">
        <v>120</v>
      </c>
      <c r="C33" s="95" t="s">
        <v>75</v>
      </c>
      <c r="D33" s="95" t="s">
        <v>77</v>
      </c>
      <c r="E33" s="95" t="s">
        <v>71</v>
      </c>
      <c r="F33" s="95" t="s">
        <v>79</v>
      </c>
      <c r="G33" s="95" t="s">
        <v>82</v>
      </c>
      <c r="H33" s="95" t="s">
        <v>67</v>
      </c>
      <c r="I33" s="95" t="s">
        <v>79</v>
      </c>
      <c r="J33" s="95">
        <v>1</v>
      </c>
      <c r="K33" s="87">
        <v>716000</v>
      </c>
      <c r="L33" s="87">
        <v>405000</v>
      </c>
      <c r="M33" s="87">
        <v>242000</v>
      </c>
      <c r="N33" s="87">
        <v>390000</v>
      </c>
      <c r="O33" s="94" t="s">
        <v>124</v>
      </c>
      <c r="P33" s="94" t="s">
        <v>15</v>
      </c>
      <c r="Q33" s="99" t="s">
        <v>195</v>
      </c>
      <c r="R33" s="86">
        <v>1</v>
      </c>
      <c r="S33" s="38">
        <v>10000</v>
      </c>
      <c r="T33" s="58">
        <v>10000</v>
      </c>
      <c r="U33" s="87" t="s">
        <v>82</v>
      </c>
      <c r="V33" s="99" t="s">
        <v>196</v>
      </c>
      <c r="W33" s="38">
        <v>1000</v>
      </c>
      <c r="X33" s="96">
        <v>20000</v>
      </c>
      <c r="Y33" s="99" t="s">
        <v>197</v>
      </c>
      <c r="Z33" s="41">
        <v>0</v>
      </c>
      <c r="AA33" s="38">
        <v>10000</v>
      </c>
      <c r="AB33" s="99" t="s">
        <v>197</v>
      </c>
      <c r="AC33" s="38">
        <v>0</v>
      </c>
      <c r="AD33" s="38">
        <v>0.1</v>
      </c>
      <c r="AE33" s="38">
        <v>0.1</v>
      </c>
      <c r="AF33" s="87" t="s">
        <v>82</v>
      </c>
      <c r="AG33" s="99" t="s">
        <v>198</v>
      </c>
      <c r="AH33" s="54">
        <v>5000</v>
      </c>
      <c r="AI33" s="38" t="s">
        <v>82</v>
      </c>
      <c r="AJ33" s="87">
        <v>245000</v>
      </c>
      <c r="AK33" s="71">
        <v>200000</v>
      </c>
      <c r="AL33" s="99" t="s">
        <v>199</v>
      </c>
      <c r="AM33" s="93" t="s">
        <v>82</v>
      </c>
      <c r="AN33" s="93" t="s">
        <v>82</v>
      </c>
      <c r="AO33" s="93" t="s">
        <v>82</v>
      </c>
      <c r="AP33" s="93" t="s">
        <v>82</v>
      </c>
      <c r="AQ33" s="93" t="s">
        <v>82</v>
      </c>
    </row>
    <row r="34" spans="1:43" x14ac:dyDescent="0.3">
      <c r="A34" s="3">
        <v>30</v>
      </c>
      <c r="B34" s="12" t="s">
        <v>121</v>
      </c>
      <c r="C34" s="95" t="s">
        <v>75</v>
      </c>
      <c r="D34" s="95" t="s">
        <v>77</v>
      </c>
      <c r="E34" s="95" t="s">
        <v>71</v>
      </c>
      <c r="F34" s="95" t="s">
        <v>79</v>
      </c>
      <c r="G34" s="95" t="s">
        <v>82</v>
      </c>
      <c r="H34" s="95" t="s">
        <v>67</v>
      </c>
      <c r="I34" s="95" t="s">
        <v>15</v>
      </c>
      <c r="J34" s="95">
        <v>1</v>
      </c>
      <c r="K34" s="87">
        <v>5200000</v>
      </c>
      <c r="L34" s="87">
        <v>885000</v>
      </c>
      <c r="M34" s="87">
        <v>1950000</v>
      </c>
      <c r="N34" s="87">
        <v>585000</v>
      </c>
      <c r="O34" s="94" t="s">
        <v>79</v>
      </c>
      <c r="P34" s="94" t="s">
        <v>15</v>
      </c>
      <c r="Q34" s="99" t="s">
        <v>195</v>
      </c>
      <c r="R34" s="86">
        <v>2</v>
      </c>
      <c r="S34" s="38">
        <v>7000</v>
      </c>
      <c r="T34" s="58">
        <v>5000</v>
      </c>
      <c r="U34" s="87" t="s">
        <v>82</v>
      </c>
      <c r="V34" s="99" t="s">
        <v>196</v>
      </c>
      <c r="W34" s="38">
        <v>1000</v>
      </c>
      <c r="X34" s="96">
        <v>20000</v>
      </c>
      <c r="Y34" s="99" t="s">
        <v>197</v>
      </c>
      <c r="Z34" s="41">
        <v>0</v>
      </c>
      <c r="AA34" s="38">
        <v>10000</v>
      </c>
      <c r="AB34" s="99" t="s">
        <v>197</v>
      </c>
      <c r="AC34" s="38">
        <v>0</v>
      </c>
      <c r="AD34" s="38">
        <v>0.1</v>
      </c>
      <c r="AE34" s="38">
        <v>0.1</v>
      </c>
      <c r="AF34" s="87" t="s">
        <v>82</v>
      </c>
      <c r="AG34" s="99" t="s">
        <v>198</v>
      </c>
      <c r="AH34" s="54">
        <v>3000</v>
      </c>
      <c r="AI34" s="38" t="s">
        <v>82</v>
      </c>
      <c r="AJ34" s="49" t="s">
        <v>82</v>
      </c>
      <c r="AK34" s="71">
        <v>800000</v>
      </c>
      <c r="AL34" s="99" t="s">
        <v>199</v>
      </c>
      <c r="AM34" s="93" t="s">
        <v>82</v>
      </c>
      <c r="AN34" s="93" t="s">
        <v>82</v>
      </c>
      <c r="AO34" s="93" t="s">
        <v>82</v>
      </c>
      <c r="AP34" s="93" t="s">
        <v>82</v>
      </c>
      <c r="AQ34" s="93" t="s">
        <v>82</v>
      </c>
    </row>
    <row r="35" spans="1:43" x14ac:dyDescent="0.3">
      <c r="A35" s="3">
        <v>31</v>
      </c>
      <c r="B35" s="12" t="s">
        <v>122</v>
      </c>
      <c r="C35" s="95" t="s">
        <v>75</v>
      </c>
      <c r="D35" s="95" t="s">
        <v>77</v>
      </c>
      <c r="E35" s="95" t="s">
        <v>71</v>
      </c>
      <c r="F35" s="95" t="s">
        <v>79</v>
      </c>
      <c r="G35" s="95" t="s">
        <v>82</v>
      </c>
      <c r="H35" s="95" t="s">
        <v>67</v>
      </c>
      <c r="I35" s="95" t="s">
        <v>15</v>
      </c>
      <c r="J35" s="95">
        <v>1</v>
      </c>
      <c r="K35" s="87">
        <v>81000</v>
      </c>
      <c r="L35" s="87">
        <v>81000</v>
      </c>
      <c r="M35" s="87">
        <v>38000</v>
      </c>
      <c r="N35" s="87">
        <v>53500</v>
      </c>
      <c r="O35" s="94" t="s">
        <v>79</v>
      </c>
      <c r="P35" s="94" t="s">
        <v>15</v>
      </c>
      <c r="Q35" s="99" t="s">
        <v>195</v>
      </c>
      <c r="R35" s="86">
        <v>1</v>
      </c>
      <c r="S35" s="38">
        <v>5000</v>
      </c>
      <c r="T35" s="58">
        <v>5000</v>
      </c>
      <c r="U35" s="87" t="s">
        <v>82</v>
      </c>
      <c r="V35" s="99" t="s">
        <v>196</v>
      </c>
      <c r="W35" s="38">
        <v>34000</v>
      </c>
      <c r="X35" s="96">
        <v>8000</v>
      </c>
      <c r="Y35" s="99" t="s">
        <v>197</v>
      </c>
      <c r="Z35" s="41">
        <v>0</v>
      </c>
      <c r="AA35" s="38">
        <v>10000</v>
      </c>
      <c r="AB35" s="99" t="s">
        <v>197</v>
      </c>
      <c r="AC35" s="38">
        <v>0</v>
      </c>
      <c r="AD35" s="38">
        <v>0.1</v>
      </c>
      <c r="AE35" s="38">
        <v>0.1</v>
      </c>
      <c r="AF35" s="87" t="s">
        <v>82</v>
      </c>
      <c r="AG35" s="99" t="s">
        <v>198</v>
      </c>
      <c r="AH35" s="54">
        <v>5000</v>
      </c>
      <c r="AI35" s="38" t="s">
        <v>82</v>
      </c>
      <c r="AJ35" s="87">
        <v>125000</v>
      </c>
      <c r="AK35" s="73">
        <v>50000</v>
      </c>
      <c r="AL35" s="99" t="s">
        <v>199</v>
      </c>
      <c r="AM35" s="93" t="s">
        <v>82</v>
      </c>
      <c r="AN35" s="93" t="s">
        <v>82</v>
      </c>
      <c r="AO35" s="93" t="s">
        <v>82</v>
      </c>
      <c r="AP35" s="93" t="s">
        <v>82</v>
      </c>
      <c r="AQ35" s="93" t="s">
        <v>82</v>
      </c>
    </row>
    <row r="36" spans="1:43" x14ac:dyDescent="0.3">
      <c r="A36" s="3">
        <v>32</v>
      </c>
      <c r="B36" s="12" t="s">
        <v>123</v>
      </c>
      <c r="C36" s="95" t="s">
        <v>75</v>
      </c>
      <c r="D36" s="95" t="s">
        <v>77</v>
      </c>
      <c r="E36" s="95" t="s">
        <v>71</v>
      </c>
      <c r="F36" s="95" t="s">
        <v>79</v>
      </c>
      <c r="G36" s="95" t="s">
        <v>82</v>
      </c>
      <c r="H36" s="95" t="s">
        <v>67</v>
      </c>
      <c r="I36" s="95" t="s">
        <v>15</v>
      </c>
      <c r="J36" s="95">
        <v>1</v>
      </c>
      <c r="K36" s="87">
        <v>1100000</v>
      </c>
      <c r="L36" s="87">
        <v>346000</v>
      </c>
      <c r="M36" s="87">
        <v>480000</v>
      </c>
      <c r="N36" s="87">
        <v>375000</v>
      </c>
      <c r="O36" s="94" t="s">
        <v>79</v>
      </c>
      <c r="P36" s="94" t="s">
        <v>15</v>
      </c>
      <c r="Q36" s="99" t="s">
        <v>195</v>
      </c>
      <c r="R36" s="86">
        <v>1</v>
      </c>
      <c r="S36" s="52" t="s">
        <v>82</v>
      </c>
      <c r="T36" s="53" t="s">
        <v>82</v>
      </c>
      <c r="U36" s="87" t="s">
        <v>82</v>
      </c>
      <c r="V36" s="99" t="s">
        <v>196</v>
      </c>
      <c r="W36" s="38">
        <v>60000</v>
      </c>
      <c r="X36" s="96">
        <v>40000</v>
      </c>
      <c r="Y36" s="99" t="s">
        <v>197</v>
      </c>
      <c r="Z36" s="41">
        <v>0</v>
      </c>
      <c r="AA36" s="38">
        <v>20000</v>
      </c>
      <c r="AB36" s="99" t="s">
        <v>197</v>
      </c>
      <c r="AC36" s="38">
        <v>0</v>
      </c>
      <c r="AD36" s="38">
        <v>0.1</v>
      </c>
      <c r="AE36" s="38">
        <v>0.1</v>
      </c>
      <c r="AF36" s="87" t="s">
        <v>82</v>
      </c>
      <c r="AG36" s="99" t="s">
        <v>198</v>
      </c>
      <c r="AH36" s="54" t="s">
        <v>82</v>
      </c>
      <c r="AI36" s="38" t="s">
        <v>82</v>
      </c>
      <c r="AJ36" s="49" t="s">
        <v>82</v>
      </c>
      <c r="AK36" s="72" t="s">
        <v>82</v>
      </c>
      <c r="AL36" s="99" t="s">
        <v>199</v>
      </c>
      <c r="AM36" s="93" t="s">
        <v>82</v>
      </c>
      <c r="AN36" s="93" t="s">
        <v>82</v>
      </c>
      <c r="AO36" s="93" t="s">
        <v>82</v>
      </c>
      <c r="AP36" s="93" t="s">
        <v>82</v>
      </c>
      <c r="AQ36" s="93" t="s">
        <v>82</v>
      </c>
    </row>
    <row r="37" spans="1:43" x14ac:dyDescent="0.3">
      <c r="A37" s="3">
        <v>33</v>
      </c>
      <c r="B37" s="12" t="s">
        <v>165</v>
      </c>
      <c r="C37" s="95" t="s">
        <v>75</v>
      </c>
      <c r="D37" s="95" t="s">
        <v>77</v>
      </c>
      <c r="E37" s="95" t="s">
        <v>71</v>
      </c>
      <c r="F37" s="95" t="s">
        <v>15</v>
      </c>
      <c r="G37" s="95" t="s">
        <v>82</v>
      </c>
      <c r="H37" s="95" t="s">
        <v>175</v>
      </c>
      <c r="I37" s="95" t="s">
        <v>79</v>
      </c>
      <c r="J37" s="95">
        <v>1</v>
      </c>
      <c r="K37" s="38">
        <v>725000</v>
      </c>
      <c r="L37" s="101">
        <v>304000</v>
      </c>
      <c r="M37" s="49">
        <v>680000</v>
      </c>
      <c r="N37" s="52">
        <v>220000</v>
      </c>
      <c r="O37" s="94" t="s">
        <v>124</v>
      </c>
      <c r="P37" s="94" t="s">
        <v>15</v>
      </c>
      <c r="Q37" s="99" t="s">
        <v>200</v>
      </c>
      <c r="R37" s="86">
        <v>2</v>
      </c>
      <c r="S37" s="85" t="s">
        <v>82</v>
      </c>
      <c r="T37" s="97">
        <v>30000</v>
      </c>
      <c r="U37" s="97">
        <v>20000</v>
      </c>
      <c r="V37" s="99" t="s">
        <v>201</v>
      </c>
      <c r="W37" s="38">
        <v>148000</v>
      </c>
      <c r="X37" s="38">
        <v>120000</v>
      </c>
      <c r="Y37" s="99" t="s">
        <v>202</v>
      </c>
      <c r="Z37" s="115">
        <v>100000</v>
      </c>
      <c r="AA37" s="77">
        <v>5000</v>
      </c>
      <c r="AB37" s="99" t="s">
        <v>202</v>
      </c>
      <c r="AC37" s="87">
        <v>600000</v>
      </c>
      <c r="AD37" s="38">
        <v>0.1</v>
      </c>
      <c r="AE37" s="38">
        <v>5</v>
      </c>
      <c r="AF37" s="87" t="s">
        <v>82</v>
      </c>
      <c r="AG37" s="99" t="s">
        <v>203</v>
      </c>
      <c r="AH37" s="54">
        <v>5000</v>
      </c>
      <c r="AI37" s="38" t="s">
        <v>82</v>
      </c>
      <c r="AJ37" s="87">
        <v>360000</v>
      </c>
      <c r="AK37" s="74">
        <v>300000</v>
      </c>
      <c r="AL37" s="99" t="s">
        <v>204</v>
      </c>
      <c r="AM37" s="93" t="s">
        <v>82</v>
      </c>
      <c r="AN37" s="93" t="s">
        <v>82</v>
      </c>
      <c r="AO37" s="93" t="s">
        <v>82</v>
      </c>
      <c r="AP37" s="93" t="s">
        <v>82</v>
      </c>
      <c r="AQ37" s="93" t="s">
        <v>82</v>
      </c>
    </row>
    <row r="38" spans="1:43" x14ac:dyDescent="0.3">
      <c r="A38" s="3">
        <v>34</v>
      </c>
      <c r="B38" s="12" t="s">
        <v>166</v>
      </c>
      <c r="C38" s="95" t="s">
        <v>74</v>
      </c>
      <c r="D38" s="95" t="s">
        <v>76</v>
      </c>
      <c r="E38" s="95" t="s">
        <v>71</v>
      </c>
      <c r="F38" s="95" t="s">
        <v>15</v>
      </c>
      <c r="G38" s="95" t="s">
        <v>82</v>
      </c>
      <c r="H38" s="95" t="s">
        <v>175</v>
      </c>
      <c r="I38" s="95" t="s">
        <v>15</v>
      </c>
      <c r="J38" s="95">
        <v>1</v>
      </c>
      <c r="K38" s="38">
        <v>1000000</v>
      </c>
      <c r="L38" s="101">
        <v>425000</v>
      </c>
      <c r="M38" s="48">
        <v>1792800</v>
      </c>
      <c r="N38" s="52">
        <v>266000</v>
      </c>
      <c r="O38" s="94" t="s">
        <v>125</v>
      </c>
      <c r="P38" s="94" t="s">
        <v>15</v>
      </c>
      <c r="Q38" s="99" t="s">
        <v>200</v>
      </c>
      <c r="R38" s="86">
        <v>2</v>
      </c>
      <c r="S38" s="85" t="s">
        <v>82</v>
      </c>
      <c r="T38" s="97">
        <v>30000</v>
      </c>
      <c r="U38" s="97">
        <v>30000</v>
      </c>
      <c r="V38" s="99" t="s">
        <v>201</v>
      </c>
      <c r="W38" s="38">
        <v>500000</v>
      </c>
      <c r="X38" s="38">
        <v>20000</v>
      </c>
      <c r="Y38" s="99" t="s">
        <v>202</v>
      </c>
      <c r="Z38" s="41">
        <v>0</v>
      </c>
      <c r="AA38" s="77">
        <v>5000</v>
      </c>
      <c r="AB38" s="99" t="s">
        <v>202</v>
      </c>
      <c r="AC38" s="88" t="s">
        <v>82</v>
      </c>
      <c r="AD38" s="38">
        <v>0.1</v>
      </c>
      <c r="AE38" s="38">
        <v>0.1</v>
      </c>
      <c r="AF38" s="87" t="s">
        <v>82</v>
      </c>
      <c r="AG38" s="99" t="s">
        <v>203</v>
      </c>
      <c r="AH38" s="54">
        <v>5000</v>
      </c>
      <c r="AI38" s="38" t="s">
        <v>82</v>
      </c>
      <c r="AJ38" s="50" t="s">
        <v>82</v>
      </c>
      <c r="AK38" s="75" t="s">
        <v>82</v>
      </c>
      <c r="AL38" s="99" t="s">
        <v>204</v>
      </c>
      <c r="AM38" s="93" t="s">
        <v>82</v>
      </c>
      <c r="AN38" s="93" t="s">
        <v>82</v>
      </c>
      <c r="AO38" s="93" t="s">
        <v>82</v>
      </c>
      <c r="AP38" s="93" t="s">
        <v>82</v>
      </c>
      <c r="AQ38" s="93" t="s">
        <v>82</v>
      </c>
    </row>
    <row r="39" spans="1:43" x14ac:dyDescent="0.3">
      <c r="A39" s="3">
        <v>35</v>
      </c>
      <c r="B39" s="12" t="s">
        <v>167</v>
      </c>
      <c r="C39" s="95" t="s">
        <v>75</v>
      </c>
      <c r="D39" s="95" t="s">
        <v>77</v>
      </c>
      <c r="E39" s="95" t="s">
        <v>71</v>
      </c>
      <c r="F39" s="95" t="s">
        <v>15</v>
      </c>
      <c r="G39" s="95" t="s">
        <v>82</v>
      </c>
      <c r="H39" s="95" t="s">
        <v>175</v>
      </c>
      <c r="I39" s="95" t="s">
        <v>15</v>
      </c>
      <c r="J39" s="95">
        <v>1</v>
      </c>
      <c r="K39" s="38">
        <v>1176000</v>
      </c>
      <c r="L39" s="101">
        <v>318000</v>
      </c>
      <c r="M39" s="49">
        <v>550000</v>
      </c>
      <c r="N39" s="52">
        <v>63000</v>
      </c>
      <c r="O39" s="94" t="s">
        <v>124</v>
      </c>
      <c r="P39" s="94" t="s">
        <v>15</v>
      </c>
      <c r="Q39" s="99" t="s">
        <v>200</v>
      </c>
      <c r="R39" s="86">
        <v>2</v>
      </c>
      <c r="S39" s="97">
        <v>15000</v>
      </c>
      <c r="T39" s="97">
        <v>40000</v>
      </c>
      <c r="U39" s="97">
        <v>20000</v>
      </c>
      <c r="V39" s="99" t="s">
        <v>201</v>
      </c>
      <c r="W39" s="38">
        <v>150000</v>
      </c>
      <c r="X39" s="38">
        <v>20000</v>
      </c>
      <c r="Y39" s="99" t="s">
        <v>202</v>
      </c>
      <c r="Z39" s="41">
        <v>0</v>
      </c>
      <c r="AA39" s="77">
        <v>5000</v>
      </c>
      <c r="AB39" s="99" t="s">
        <v>202</v>
      </c>
      <c r="AC39" s="88" t="s">
        <v>82</v>
      </c>
      <c r="AD39" s="38">
        <v>0.1</v>
      </c>
      <c r="AE39" s="38">
        <v>0.1</v>
      </c>
      <c r="AF39" s="87" t="s">
        <v>82</v>
      </c>
      <c r="AG39" s="99" t="s">
        <v>203</v>
      </c>
      <c r="AH39" s="54">
        <v>5000</v>
      </c>
      <c r="AI39" s="38" t="s">
        <v>82</v>
      </c>
      <c r="AJ39" s="87">
        <v>465000</v>
      </c>
      <c r="AK39" s="74">
        <v>100000</v>
      </c>
      <c r="AL39" s="99" t="s">
        <v>204</v>
      </c>
      <c r="AM39" s="93" t="s">
        <v>82</v>
      </c>
      <c r="AN39" s="93" t="s">
        <v>82</v>
      </c>
      <c r="AO39" s="93" t="s">
        <v>82</v>
      </c>
      <c r="AP39" s="93" t="s">
        <v>82</v>
      </c>
      <c r="AQ39" s="93" t="s">
        <v>82</v>
      </c>
    </row>
    <row r="40" spans="1:43" x14ac:dyDescent="0.3">
      <c r="A40" s="3">
        <v>36</v>
      </c>
      <c r="B40" s="67" t="s">
        <v>168</v>
      </c>
      <c r="C40" s="95" t="s">
        <v>74</v>
      </c>
      <c r="D40" s="95" t="s">
        <v>77</v>
      </c>
      <c r="E40" s="95" t="s">
        <v>71</v>
      </c>
      <c r="F40" s="95" t="s">
        <v>15</v>
      </c>
      <c r="G40" s="95" t="s">
        <v>82</v>
      </c>
      <c r="H40" s="95" t="s">
        <v>175</v>
      </c>
      <c r="I40" s="95" t="s">
        <v>79</v>
      </c>
      <c r="J40" s="95">
        <v>1</v>
      </c>
      <c r="K40" s="102">
        <v>392000</v>
      </c>
      <c r="L40" s="101">
        <v>0</v>
      </c>
      <c r="M40" s="103">
        <v>373000</v>
      </c>
      <c r="N40" s="84">
        <v>144800</v>
      </c>
      <c r="O40" s="94" t="s">
        <v>124</v>
      </c>
      <c r="P40" s="94" t="s">
        <v>15</v>
      </c>
      <c r="Q40" s="99" t="s">
        <v>200</v>
      </c>
      <c r="R40" s="86">
        <v>2</v>
      </c>
      <c r="S40" s="85" t="s">
        <v>82</v>
      </c>
      <c r="T40" s="85" t="s">
        <v>82</v>
      </c>
      <c r="U40" s="97">
        <v>15000</v>
      </c>
      <c r="V40" s="99" t="s">
        <v>201</v>
      </c>
      <c r="W40" s="38">
        <v>60000</v>
      </c>
      <c r="X40" s="38">
        <v>3000</v>
      </c>
      <c r="Y40" s="99" t="s">
        <v>202</v>
      </c>
      <c r="Z40" s="115">
        <v>180000</v>
      </c>
      <c r="AA40" s="77">
        <v>20000</v>
      </c>
      <c r="AB40" s="99" t="s">
        <v>202</v>
      </c>
      <c r="AC40" s="87">
        <v>900000</v>
      </c>
      <c r="AD40" s="38">
        <v>0.1</v>
      </c>
      <c r="AE40" s="38">
        <v>5</v>
      </c>
      <c r="AF40" s="87" t="s">
        <v>82</v>
      </c>
      <c r="AG40" s="99" t="s">
        <v>203</v>
      </c>
      <c r="AH40" s="54">
        <v>20000</v>
      </c>
      <c r="AI40" s="38" t="s">
        <v>82</v>
      </c>
      <c r="AJ40" s="87">
        <v>410000</v>
      </c>
      <c r="AK40" s="74">
        <v>100000</v>
      </c>
      <c r="AL40" s="99" t="s">
        <v>204</v>
      </c>
      <c r="AM40" s="93" t="s">
        <v>82</v>
      </c>
      <c r="AN40" s="93" t="s">
        <v>82</v>
      </c>
      <c r="AO40" s="93" t="s">
        <v>82</v>
      </c>
      <c r="AP40" s="93" t="s">
        <v>82</v>
      </c>
      <c r="AQ40" s="93" t="s">
        <v>82</v>
      </c>
    </row>
    <row r="41" spans="1:43" x14ac:dyDescent="0.3">
      <c r="A41" s="3">
        <v>37</v>
      </c>
      <c r="B41" s="66" t="s">
        <v>169</v>
      </c>
      <c r="C41" s="95" t="s">
        <v>75</v>
      </c>
      <c r="D41" s="95" t="s">
        <v>77</v>
      </c>
      <c r="E41" s="95" t="s">
        <v>71</v>
      </c>
      <c r="F41" s="95" t="s">
        <v>15</v>
      </c>
      <c r="G41" s="95" t="s">
        <v>82</v>
      </c>
      <c r="H41" s="95" t="s">
        <v>175</v>
      </c>
      <c r="I41" s="95" t="s">
        <v>15</v>
      </c>
      <c r="J41" s="95">
        <v>1</v>
      </c>
      <c r="K41" s="102">
        <v>392000</v>
      </c>
      <c r="L41" s="101">
        <v>0</v>
      </c>
      <c r="M41" s="103">
        <v>373000</v>
      </c>
      <c r="N41" s="84">
        <v>144800</v>
      </c>
      <c r="O41" s="94" t="s">
        <v>124</v>
      </c>
      <c r="P41" s="94" t="s">
        <v>15</v>
      </c>
      <c r="Q41" s="99" t="s">
        <v>200</v>
      </c>
      <c r="R41" s="86">
        <v>2</v>
      </c>
      <c r="S41" s="85" t="s">
        <v>82</v>
      </c>
      <c r="T41" s="85" t="s">
        <v>82</v>
      </c>
      <c r="U41" s="85" t="s">
        <v>82</v>
      </c>
      <c r="V41" s="99" t="s">
        <v>201</v>
      </c>
      <c r="W41" s="41">
        <v>356000</v>
      </c>
      <c r="X41" s="38">
        <v>3000</v>
      </c>
      <c r="Y41" s="99" t="s">
        <v>202</v>
      </c>
      <c r="Z41" s="41">
        <v>0</v>
      </c>
      <c r="AA41" s="104">
        <v>0</v>
      </c>
      <c r="AB41" s="99" t="s">
        <v>202</v>
      </c>
      <c r="AC41" s="88" t="s">
        <v>82</v>
      </c>
      <c r="AD41" s="38">
        <v>0.1</v>
      </c>
      <c r="AE41" s="38">
        <v>0.1</v>
      </c>
      <c r="AF41" s="87" t="s">
        <v>82</v>
      </c>
      <c r="AG41" s="99" t="s">
        <v>203</v>
      </c>
      <c r="AH41" s="50" t="s">
        <v>82</v>
      </c>
      <c r="AI41" s="38" t="s">
        <v>82</v>
      </c>
      <c r="AJ41" s="50" t="s">
        <v>82</v>
      </c>
      <c r="AK41" s="75" t="s">
        <v>82</v>
      </c>
      <c r="AL41" s="99" t="s">
        <v>204</v>
      </c>
      <c r="AM41" s="93" t="s">
        <v>82</v>
      </c>
      <c r="AN41" s="93" t="s">
        <v>82</v>
      </c>
      <c r="AO41" s="93" t="s">
        <v>82</v>
      </c>
      <c r="AP41" s="93" t="s">
        <v>82</v>
      </c>
      <c r="AQ41" s="93" t="s">
        <v>82</v>
      </c>
    </row>
    <row r="42" spans="1:43" x14ac:dyDescent="0.3">
      <c r="A42" s="3">
        <v>38</v>
      </c>
      <c r="B42" s="35" t="s">
        <v>173</v>
      </c>
      <c r="C42" s="95" t="s">
        <v>75</v>
      </c>
      <c r="D42" s="95" t="s">
        <v>77</v>
      </c>
      <c r="E42" s="95" t="s">
        <v>71</v>
      </c>
      <c r="F42" s="95" t="s">
        <v>15</v>
      </c>
      <c r="G42" s="95" t="s">
        <v>82</v>
      </c>
      <c r="H42" s="95" t="s">
        <v>175</v>
      </c>
      <c r="I42" s="95" t="s">
        <v>15</v>
      </c>
      <c r="J42" s="95">
        <v>1</v>
      </c>
      <c r="K42" s="102">
        <v>392000</v>
      </c>
      <c r="L42" s="101">
        <v>0</v>
      </c>
      <c r="M42" s="103">
        <v>373000</v>
      </c>
      <c r="N42" s="84">
        <v>144800</v>
      </c>
      <c r="O42" s="94" t="s">
        <v>124</v>
      </c>
      <c r="P42" s="94" t="s">
        <v>15</v>
      </c>
      <c r="Q42" s="99" t="s">
        <v>200</v>
      </c>
      <c r="R42" s="86">
        <v>2</v>
      </c>
      <c r="S42" s="85" t="s">
        <v>82</v>
      </c>
      <c r="T42" s="85" t="s">
        <v>82</v>
      </c>
      <c r="U42" s="85" t="s">
        <v>82</v>
      </c>
      <c r="V42" s="99" t="s">
        <v>201</v>
      </c>
      <c r="W42" s="41">
        <v>0</v>
      </c>
      <c r="X42" s="41">
        <v>0</v>
      </c>
      <c r="Y42" s="99" t="s">
        <v>202</v>
      </c>
      <c r="Z42" s="41">
        <v>0</v>
      </c>
      <c r="AA42" s="104">
        <v>0</v>
      </c>
      <c r="AB42" s="99" t="s">
        <v>202</v>
      </c>
      <c r="AC42" s="88" t="s">
        <v>82</v>
      </c>
      <c r="AD42" s="38">
        <v>0.1</v>
      </c>
      <c r="AE42" s="38">
        <v>0.1</v>
      </c>
      <c r="AF42" s="87" t="s">
        <v>82</v>
      </c>
      <c r="AG42" s="99" t="s">
        <v>203</v>
      </c>
      <c r="AH42" s="50" t="s">
        <v>82</v>
      </c>
      <c r="AI42" s="38" t="s">
        <v>82</v>
      </c>
      <c r="AJ42" s="50" t="s">
        <v>82</v>
      </c>
      <c r="AK42" s="75" t="s">
        <v>82</v>
      </c>
      <c r="AL42" s="99" t="s">
        <v>204</v>
      </c>
      <c r="AM42" s="93" t="s">
        <v>82</v>
      </c>
      <c r="AN42" s="93" t="s">
        <v>82</v>
      </c>
      <c r="AO42" s="93" t="s">
        <v>82</v>
      </c>
      <c r="AP42" s="93" t="s">
        <v>82</v>
      </c>
      <c r="AQ42" s="93" t="s">
        <v>82</v>
      </c>
    </row>
    <row r="43" spans="1:43" x14ac:dyDescent="0.3">
      <c r="A43" s="3">
        <v>39</v>
      </c>
      <c r="B43" s="35" t="s">
        <v>170</v>
      </c>
      <c r="C43" s="95" t="s">
        <v>74</v>
      </c>
      <c r="D43" s="95" t="s">
        <v>77</v>
      </c>
      <c r="E43" s="95" t="s">
        <v>71</v>
      </c>
      <c r="F43" s="95" t="s">
        <v>15</v>
      </c>
      <c r="G43" s="95" t="s">
        <v>82</v>
      </c>
      <c r="H43" s="95" t="s">
        <v>175</v>
      </c>
      <c r="I43" s="95" t="s">
        <v>15</v>
      </c>
      <c r="J43" s="95">
        <v>1</v>
      </c>
      <c r="K43" s="102">
        <v>392000</v>
      </c>
      <c r="L43" s="101">
        <v>0</v>
      </c>
      <c r="M43" s="103">
        <v>373000</v>
      </c>
      <c r="N43" s="84">
        <v>144800</v>
      </c>
      <c r="O43" s="94" t="s">
        <v>124</v>
      </c>
      <c r="P43" s="94" t="s">
        <v>15</v>
      </c>
      <c r="Q43" s="99" t="s">
        <v>200</v>
      </c>
      <c r="R43" s="86">
        <v>2</v>
      </c>
      <c r="S43" s="85" t="s">
        <v>82</v>
      </c>
      <c r="T43" s="85" t="s">
        <v>82</v>
      </c>
      <c r="U43" s="97">
        <v>20000</v>
      </c>
      <c r="V43" s="99" t="s">
        <v>201</v>
      </c>
      <c r="W43" s="38">
        <v>96000</v>
      </c>
      <c r="X43" s="38">
        <v>3000</v>
      </c>
      <c r="Y43" s="99" t="s">
        <v>202</v>
      </c>
      <c r="Z43" s="41">
        <v>0</v>
      </c>
      <c r="AA43" s="104">
        <v>0</v>
      </c>
      <c r="AB43" s="99" t="s">
        <v>202</v>
      </c>
      <c r="AC43" s="88" t="s">
        <v>82</v>
      </c>
      <c r="AD43" s="38">
        <v>0.1</v>
      </c>
      <c r="AE43" s="38">
        <v>0.1</v>
      </c>
      <c r="AF43" s="87" t="s">
        <v>82</v>
      </c>
      <c r="AG43" s="99" t="s">
        <v>203</v>
      </c>
      <c r="AH43" s="54">
        <v>5000</v>
      </c>
      <c r="AI43" s="38" t="s">
        <v>82</v>
      </c>
      <c r="AJ43" s="87">
        <v>400000</v>
      </c>
      <c r="AK43" s="74">
        <v>150000</v>
      </c>
      <c r="AL43" s="99" t="s">
        <v>204</v>
      </c>
      <c r="AM43" s="93" t="s">
        <v>82</v>
      </c>
      <c r="AN43" s="93" t="s">
        <v>82</v>
      </c>
      <c r="AO43" s="93" t="s">
        <v>82</v>
      </c>
      <c r="AP43" s="93" t="s">
        <v>82</v>
      </c>
      <c r="AQ43" s="93" t="s">
        <v>82</v>
      </c>
    </row>
    <row r="44" spans="1:43" x14ac:dyDescent="0.3">
      <c r="A44" s="3">
        <v>40</v>
      </c>
      <c r="B44" s="66" t="s">
        <v>171</v>
      </c>
      <c r="C44" s="95" t="s">
        <v>75</v>
      </c>
      <c r="D44" s="95" t="s">
        <v>77</v>
      </c>
      <c r="E44" s="95" t="s">
        <v>71</v>
      </c>
      <c r="F44" s="95" t="s">
        <v>15</v>
      </c>
      <c r="G44" s="95" t="s">
        <v>82</v>
      </c>
      <c r="H44" s="95" t="s">
        <v>175</v>
      </c>
      <c r="I44" s="95" t="s">
        <v>79</v>
      </c>
      <c r="J44" s="95">
        <v>1</v>
      </c>
      <c r="K44" s="38">
        <v>600000</v>
      </c>
      <c r="L44" s="101">
        <v>70000</v>
      </c>
      <c r="M44" s="89" t="s">
        <v>82</v>
      </c>
      <c r="N44" s="52">
        <v>0</v>
      </c>
      <c r="O44" s="94" t="s">
        <v>124</v>
      </c>
      <c r="P44" s="94" t="s">
        <v>15</v>
      </c>
      <c r="Q44" s="99" t="s">
        <v>200</v>
      </c>
      <c r="R44" s="86">
        <v>2</v>
      </c>
      <c r="S44" s="85" t="s">
        <v>82</v>
      </c>
      <c r="T44" s="85" t="s">
        <v>82</v>
      </c>
      <c r="U44" s="97">
        <v>10000</v>
      </c>
      <c r="V44" s="99" t="s">
        <v>201</v>
      </c>
      <c r="W44" s="38">
        <v>80000</v>
      </c>
      <c r="X44" s="38">
        <v>3000</v>
      </c>
      <c r="Y44" s="99" t="s">
        <v>202</v>
      </c>
      <c r="Z44" s="115">
        <v>180000</v>
      </c>
      <c r="AA44" s="77">
        <v>20000</v>
      </c>
      <c r="AB44" s="99" t="s">
        <v>202</v>
      </c>
      <c r="AC44" s="87">
        <v>580000</v>
      </c>
      <c r="AD44" s="38">
        <v>0.1</v>
      </c>
      <c r="AE44" s="38">
        <v>5</v>
      </c>
      <c r="AF44" s="87" t="s">
        <v>82</v>
      </c>
      <c r="AG44" s="99" t="s">
        <v>203</v>
      </c>
      <c r="AH44" s="54">
        <v>20000</v>
      </c>
      <c r="AI44" s="38" t="s">
        <v>82</v>
      </c>
      <c r="AJ44" s="87">
        <v>65000</v>
      </c>
      <c r="AK44" s="74">
        <v>200000</v>
      </c>
      <c r="AL44" s="99" t="s">
        <v>204</v>
      </c>
      <c r="AM44" s="93" t="s">
        <v>82</v>
      </c>
      <c r="AN44" s="93" t="s">
        <v>82</v>
      </c>
      <c r="AO44" s="93" t="s">
        <v>82</v>
      </c>
      <c r="AP44" s="93" t="s">
        <v>82</v>
      </c>
      <c r="AQ44" s="93" t="s">
        <v>82</v>
      </c>
    </row>
    <row r="45" spans="1:43" ht="15.6" x14ac:dyDescent="0.3">
      <c r="A45" s="3">
        <v>41</v>
      </c>
      <c r="B45" s="32" t="s">
        <v>172</v>
      </c>
      <c r="C45" s="95" t="s">
        <v>75</v>
      </c>
      <c r="D45" s="95" t="s">
        <v>77</v>
      </c>
      <c r="E45" s="95" t="s">
        <v>71</v>
      </c>
      <c r="F45" s="95" t="s">
        <v>15</v>
      </c>
      <c r="G45" s="95" t="s">
        <v>82</v>
      </c>
      <c r="H45" s="95" t="s">
        <v>175</v>
      </c>
      <c r="I45" s="95" t="s">
        <v>79</v>
      </c>
      <c r="J45" s="95">
        <v>1</v>
      </c>
      <c r="K45" s="38">
        <v>460000</v>
      </c>
      <c r="L45" s="101">
        <v>293000</v>
      </c>
      <c r="M45" s="89" t="s">
        <v>82</v>
      </c>
      <c r="N45" s="52">
        <v>0</v>
      </c>
      <c r="O45" s="94" t="s">
        <v>124</v>
      </c>
      <c r="P45" s="94" t="s">
        <v>15</v>
      </c>
      <c r="Q45" s="99" t="s">
        <v>200</v>
      </c>
      <c r="R45" s="86">
        <v>2</v>
      </c>
      <c r="S45" s="85" t="s">
        <v>82</v>
      </c>
      <c r="T45" s="97">
        <v>40000</v>
      </c>
      <c r="U45" s="97">
        <v>15000</v>
      </c>
      <c r="V45" s="99" t="s">
        <v>201</v>
      </c>
      <c r="W45" s="38">
        <v>70000</v>
      </c>
      <c r="X45" s="38">
        <v>4000</v>
      </c>
      <c r="Y45" s="99" t="s">
        <v>202</v>
      </c>
      <c r="Z45" s="115">
        <v>40000</v>
      </c>
      <c r="AA45" s="77">
        <v>10000</v>
      </c>
      <c r="AB45" s="99" t="s">
        <v>202</v>
      </c>
      <c r="AC45" s="87">
        <v>40000</v>
      </c>
      <c r="AD45" s="38">
        <v>0.1</v>
      </c>
      <c r="AE45" s="38">
        <v>5</v>
      </c>
      <c r="AF45" s="87" t="s">
        <v>82</v>
      </c>
      <c r="AG45" s="99" t="s">
        <v>203</v>
      </c>
      <c r="AH45" s="59">
        <v>10000</v>
      </c>
      <c r="AI45" s="38" t="s">
        <v>82</v>
      </c>
      <c r="AJ45" s="87">
        <v>224000</v>
      </c>
      <c r="AK45" s="74">
        <v>300000</v>
      </c>
      <c r="AL45" s="99" t="s">
        <v>204</v>
      </c>
      <c r="AM45" s="93" t="s">
        <v>82</v>
      </c>
      <c r="AN45" s="93" t="s">
        <v>82</v>
      </c>
      <c r="AO45" s="93" t="s">
        <v>82</v>
      </c>
      <c r="AP45" s="93" t="s">
        <v>82</v>
      </c>
      <c r="AQ45" s="93" t="s">
        <v>82</v>
      </c>
    </row>
    <row r="46" spans="1:43" ht="15.6" x14ac:dyDescent="0.3">
      <c r="A46" s="3">
        <v>42</v>
      </c>
      <c r="B46" s="37" t="s">
        <v>132</v>
      </c>
      <c r="C46" s="95" t="s">
        <v>74</v>
      </c>
      <c r="D46" s="95" t="s">
        <v>77</v>
      </c>
      <c r="E46" s="95" t="s">
        <v>71</v>
      </c>
      <c r="F46" s="95" t="s">
        <v>79</v>
      </c>
      <c r="G46" s="95" t="s">
        <v>82</v>
      </c>
      <c r="H46" s="95" t="s">
        <v>68</v>
      </c>
      <c r="I46" s="95" t="s">
        <v>15</v>
      </c>
      <c r="J46" s="95">
        <v>2</v>
      </c>
      <c r="K46" s="105">
        <v>3328000</v>
      </c>
      <c r="L46" s="106">
        <v>510000</v>
      </c>
      <c r="M46" s="105">
        <v>191000</v>
      </c>
      <c r="N46" s="106">
        <v>170000</v>
      </c>
      <c r="O46" s="94" t="s">
        <v>124</v>
      </c>
      <c r="P46" s="94" t="s">
        <v>15</v>
      </c>
      <c r="Q46" s="99" t="s">
        <v>205</v>
      </c>
      <c r="R46" s="86">
        <v>1</v>
      </c>
      <c r="S46" s="54">
        <v>25000</v>
      </c>
      <c r="T46" s="49">
        <v>40000</v>
      </c>
      <c r="U46" s="49">
        <v>150000</v>
      </c>
      <c r="V46" s="99" t="s">
        <v>206</v>
      </c>
      <c r="W46" s="38">
        <v>15000</v>
      </c>
      <c r="X46" s="38">
        <v>40000</v>
      </c>
      <c r="Y46" s="99" t="s">
        <v>207</v>
      </c>
      <c r="Z46" s="116">
        <v>0</v>
      </c>
      <c r="AA46" s="71">
        <v>3000</v>
      </c>
      <c r="AB46" s="99" t="s">
        <v>207</v>
      </c>
      <c r="AC46" s="87">
        <v>0</v>
      </c>
      <c r="AD46" s="108">
        <v>0</v>
      </c>
      <c r="AE46" s="87">
        <v>0</v>
      </c>
      <c r="AF46" s="91" t="s">
        <v>82</v>
      </c>
      <c r="AG46" s="99" t="s">
        <v>208</v>
      </c>
      <c r="AH46" s="109">
        <v>3000</v>
      </c>
      <c r="AI46" s="68" t="s">
        <v>82</v>
      </c>
      <c r="AJ46" s="87">
        <v>850000</v>
      </c>
      <c r="AK46" s="76">
        <v>150000</v>
      </c>
      <c r="AL46" s="99" t="s">
        <v>209</v>
      </c>
      <c r="AM46" s="93" t="s">
        <v>82</v>
      </c>
      <c r="AN46" s="93" t="s">
        <v>82</v>
      </c>
      <c r="AO46" s="93" t="s">
        <v>82</v>
      </c>
      <c r="AP46" s="93" t="s">
        <v>82</v>
      </c>
      <c r="AQ46" s="93" t="s">
        <v>82</v>
      </c>
    </row>
    <row r="47" spans="1:43" ht="15.6" x14ac:dyDescent="0.3">
      <c r="A47" s="3">
        <v>43</v>
      </c>
      <c r="B47" s="37" t="s">
        <v>133</v>
      </c>
      <c r="C47" s="95" t="s">
        <v>75</v>
      </c>
      <c r="D47" s="95" t="s">
        <v>76</v>
      </c>
      <c r="E47" s="95" t="s">
        <v>71</v>
      </c>
      <c r="F47" s="95" t="s">
        <v>79</v>
      </c>
      <c r="G47" s="95" t="s">
        <v>82</v>
      </c>
      <c r="H47" s="95" t="s">
        <v>68</v>
      </c>
      <c r="I47" s="95" t="s">
        <v>15</v>
      </c>
      <c r="J47" s="95">
        <v>2</v>
      </c>
      <c r="K47" s="110">
        <v>288000</v>
      </c>
      <c r="L47" s="106">
        <v>104000</v>
      </c>
      <c r="M47" s="105">
        <v>100000</v>
      </c>
      <c r="N47" s="106">
        <v>64000</v>
      </c>
      <c r="O47" s="94" t="s">
        <v>124</v>
      </c>
      <c r="P47" s="95" t="s">
        <v>126</v>
      </c>
      <c r="Q47" s="99" t="s">
        <v>205</v>
      </c>
      <c r="R47" s="86">
        <v>1</v>
      </c>
      <c r="S47" s="68" t="s">
        <v>82</v>
      </c>
      <c r="T47" s="49">
        <v>32000</v>
      </c>
      <c r="U47" s="49">
        <v>70000</v>
      </c>
      <c r="V47" s="99" t="s">
        <v>206</v>
      </c>
      <c r="W47" s="38">
        <v>8000</v>
      </c>
      <c r="X47" s="38">
        <v>32000</v>
      </c>
      <c r="Y47" s="99" t="s">
        <v>207</v>
      </c>
      <c r="Z47" s="107">
        <v>0</v>
      </c>
      <c r="AA47" s="71">
        <v>5000</v>
      </c>
      <c r="AB47" s="99" t="s">
        <v>207</v>
      </c>
      <c r="AC47" s="87">
        <v>0</v>
      </c>
      <c r="AD47" s="108">
        <v>0</v>
      </c>
      <c r="AE47" s="87">
        <v>0</v>
      </c>
      <c r="AF47" s="91" t="s">
        <v>82</v>
      </c>
      <c r="AG47" s="99" t="s">
        <v>208</v>
      </c>
      <c r="AH47" s="109">
        <v>5000</v>
      </c>
      <c r="AI47" s="68" t="s">
        <v>82</v>
      </c>
      <c r="AJ47" s="88" t="s">
        <v>82</v>
      </c>
      <c r="AK47" s="93" t="s">
        <v>82</v>
      </c>
      <c r="AL47" s="99" t="s">
        <v>209</v>
      </c>
      <c r="AM47" s="93" t="s">
        <v>82</v>
      </c>
      <c r="AN47" s="93" t="s">
        <v>82</v>
      </c>
      <c r="AO47" s="93" t="s">
        <v>82</v>
      </c>
      <c r="AP47" s="93" t="s">
        <v>82</v>
      </c>
      <c r="AQ47" s="93" t="s">
        <v>82</v>
      </c>
    </row>
    <row r="48" spans="1:43" ht="15.6" x14ac:dyDescent="0.3">
      <c r="A48" s="3">
        <v>44</v>
      </c>
      <c r="B48" s="43" t="s">
        <v>134</v>
      </c>
      <c r="C48" s="95" t="s">
        <v>75</v>
      </c>
      <c r="D48" s="95" t="s">
        <v>76</v>
      </c>
      <c r="E48" s="95" t="s">
        <v>71</v>
      </c>
      <c r="F48" s="95" t="s">
        <v>79</v>
      </c>
      <c r="G48" s="95" t="s">
        <v>82</v>
      </c>
      <c r="H48" s="95" t="s">
        <v>68</v>
      </c>
      <c r="I48" s="95" t="s">
        <v>15</v>
      </c>
      <c r="J48" s="95">
        <v>2</v>
      </c>
      <c r="K48" s="110">
        <v>850000</v>
      </c>
      <c r="L48" s="106">
        <v>180000</v>
      </c>
      <c r="M48" s="105">
        <v>400000</v>
      </c>
      <c r="N48" s="111">
        <v>165000</v>
      </c>
      <c r="O48" s="94" t="s">
        <v>124</v>
      </c>
      <c r="P48" s="94" t="s">
        <v>15</v>
      </c>
      <c r="Q48" s="99" t="s">
        <v>205</v>
      </c>
      <c r="R48" s="86">
        <v>1</v>
      </c>
      <c r="S48" s="68" t="s">
        <v>82</v>
      </c>
      <c r="T48" s="49">
        <v>60000</v>
      </c>
      <c r="U48" s="49">
        <v>100000</v>
      </c>
      <c r="V48" s="99" t="s">
        <v>206</v>
      </c>
      <c r="W48" s="38">
        <v>14000</v>
      </c>
      <c r="X48" s="38">
        <v>60000</v>
      </c>
      <c r="Y48" s="99" t="s">
        <v>207</v>
      </c>
      <c r="Z48" s="107">
        <v>0</v>
      </c>
      <c r="AA48" s="71">
        <v>3000</v>
      </c>
      <c r="AB48" s="99" t="s">
        <v>207</v>
      </c>
      <c r="AC48" s="87">
        <v>0</v>
      </c>
      <c r="AD48" s="108">
        <v>0</v>
      </c>
      <c r="AE48" s="87">
        <v>0</v>
      </c>
      <c r="AF48" s="91" t="s">
        <v>82</v>
      </c>
      <c r="AG48" s="99" t="s">
        <v>208</v>
      </c>
      <c r="AH48" s="109">
        <v>3000</v>
      </c>
      <c r="AI48" s="68" t="s">
        <v>82</v>
      </c>
      <c r="AJ48" s="88" t="s">
        <v>82</v>
      </c>
      <c r="AK48" s="93" t="s">
        <v>82</v>
      </c>
      <c r="AL48" s="99" t="s">
        <v>209</v>
      </c>
      <c r="AM48" s="93" t="s">
        <v>82</v>
      </c>
      <c r="AN48" s="93" t="s">
        <v>82</v>
      </c>
      <c r="AO48" s="93" t="s">
        <v>82</v>
      </c>
      <c r="AP48" s="93" t="s">
        <v>82</v>
      </c>
      <c r="AQ48" s="93" t="s">
        <v>82</v>
      </c>
    </row>
    <row r="49" spans="1:43" x14ac:dyDescent="0.3">
      <c r="A49" s="3">
        <v>45</v>
      </c>
      <c r="B49" s="43" t="s">
        <v>135</v>
      </c>
      <c r="C49" s="95" t="s">
        <v>72</v>
      </c>
      <c r="D49" s="95" t="s">
        <v>76</v>
      </c>
      <c r="E49" s="95" t="s">
        <v>71</v>
      </c>
      <c r="F49" s="95" t="s">
        <v>79</v>
      </c>
      <c r="G49" s="95" t="s">
        <v>82</v>
      </c>
      <c r="H49" s="95" t="s">
        <v>68</v>
      </c>
      <c r="I49" s="95" t="s">
        <v>15</v>
      </c>
      <c r="J49" s="95">
        <v>2</v>
      </c>
      <c r="K49" s="105">
        <v>1617500</v>
      </c>
      <c r="L49" s="106">
        <v>740000</v>
      </c>
      <c r="M49" s="105">
        <v>5250000</v>
      </c>
      <c r="N49" s="106">
        <v>810000</v>
      </c>
      <c r="O49" s="94" t="s">
        <v>124</v>
      </c>
      <c r="P49" s="94" t="s">
        <v>15</v>
      </c>
      <c r="Q49" s="99" t="s">
        <v>205</v>
      </c>
      <c r="R49" s="86">
        <v>1</v>
      </c>
      <c r="S49" s="68" t="s">
        <v>82</v>
      </c>
      <c r="T49" s="49">
        <v>60000</v>
      </c>
      <c r="U49" s="49">
        <v>170000</v>
      </c>
      <c r="V49" s="99" t="s">
        <v>206</v>
      </c>
      <c r="W49" s="38">
        <v>15000</v>
      </c>
      <c r="X49" s="38">
        <v>60000</v>
      </c>
      <c r="Y49" s="99" t="s">
        <v>207</v>
      </c>
      <c r="Z49" s="107">
        <v>0</v>
      </c>
      <c r="AA49" s="112">
        <v>4000</v>
      </c>
      <c r="AB49" s="99" t="s">
        <v>207</v>
      </c>
      <c r="AC49" s="87">
        <v>0</v>
      </c>
      <c r="AD49" s="108">
        <v>0</v>
      </c>
      <c r="AE49" s="87">
        <v>0</v>
      </c>
      <c r="AF49" s="91" t="s">
        <v>82</v>
      </c>
      <c r="AG49" s="99" t="s">
        <v>208</v>
      </c>
      <c r="AH49" s="113">
        <v>4000</v>
      </c>
      <c r="AI49" s="68" t="s">
        <v>82</v>
      </c>
      <c r="AJ49" s="88" t="s">
        <v>82</v>
      </c>
      <c r="AK49" s="93" t="s">
        <v>82</v>
      </c>
      <c r="AL49" s="99" t="s">
        <v>209</v>
      </c>
      <c r="AM49" s="93" t="s">
        <v>82</v>
      </c>
      <c r="AN49" s="93" t="s">
        <v>82</v>
      </c>
      <c r="AO49" s="93" t="s">
        <v>82</v>
      </c>
      <c r="AP49" s="93" t="s">
        <v>82</v>
      </c>
      <c r="AQ49" s="93" t="s">
        <v>82</v>
      </c>
    </row>
    <row r="50" spans="1:43" x14ac:dyDescent="0.3">
      <c r="A50" s="3">
        <v>46</v>
      </c>
      <c r="B50" s="37" t="s">
        <v>136</v>
      </c>
      <c r="C50" s="95" t="s">
        <v>74</v>
      </c>
      <c r="D50" s="95" t="s">
        <v>76</v>
      </c>
      <c r="E50" s="95" t="s">
        <v>71</v>
      </c>
      <c r="F50" s="95" t="s">
        <v>79</v>
      </c>
      <c r="G50" s="95" t="s">
        <v>82</v>
      </c>
      <c r="H50" s="95" t="s">
        <v>68</v>
      </c>
      <c r="I50" s="95" t="s">
        <v>15</v>
      </c>
      <c r="J50" s="95">
        <v>2</v>
      </c>
      <c r="K50" s="105">
        <v>780000</v>
      </c>
      <c r="L50" s="106">
        <v>255200</v>
      </c>
      <c r="M50" s="105">
        <v>270000</v>
      </c>
      <c r="N50" s="106">
        <v>187200</v>
      </c>
      <c r="O50" s="94" t="s">
        <v>124</v>
      </c>
      <c r="P50" s="94" t="s">
        <v>15</v>
      </c>
      <c r="Q50" s="99" t="s">
        <v>205</v>
      </c>
      <c r="R50" s="86">
        <v>1</v>
      </c>
      <c r="S50" s="68" t="s">
        <v>82</v>
      </c>
      <c r="T50" s="49">
        <v>32000</v>
      </c>
      <c r="U50" s="49">
        <v>40000</v>
      </c>
      <c r="V50" s="99" t="s">
        <v>206</v>
      </c>
      <c r="W50" s="41">
        <v>13000</v>
      </c>
      <c r="X50" s="38">
        <v>32000</v>
      </c>
      <c r="Y50" s="99" t="s">
        <v>207</v>
      </c>
      <c r="Z50" s="107">
        <v>0</v>
      </c>
      <c r="AA50" s="71">
        <v>4000</v>
      </c>
      <c r="AB50" s="99" t="s">
        <v>207</v>
      </c>
      <c r="AC50" s="87">
        <v>0</v>
      </c>
      <c r="AD50" s="108">
        <v>0</v>
      </c>
      <c r="AE50" s="87">
        <v>0</v>
      </c>
      <c r="AF50" s="91" t="s">
        <v>82</v>
      </c>
      <c r="AG50" s="99" t="s">
        <v>208</v>
      </c>
      <c r="AH50" s="109">
        <v>4000</v>
      </c>
      <c r="AI50" s="68" t="s">
        <v>82</v>
      </c>
      <c r="AJ50" s="88" t="s">
        <v>82</v>
      </c>
      <c r="AK50" s="93" t="s">
        <v>82</v>
      </c>
      <c r="AL50" s="99" t="s">
        <v>209</v>
      </c>
      <c r="AM50" s="93" t="s">
        <v>82</v>
      </c>
      <c r="AN50" s="93" t="s">
        <v>82</v>
      </c>
      <c r="AO50" s="93" t="s">
        <v>82</v>
      </c>
      <c r="AP50" s="93" t="s">
        <v>82</v>
      </c>
      <c r="AQ50" s="93" t="s">
        <v>82</v>
      </c>
    </row>
    <row r="51" spans="1:43" x14ac:dyDescent="0.3">
      <c r="A51" s="3">
        <v>47</v>
      </c>
      <c r="B51" s="37" t="s">
        <v>137</v>
      </c>
      <c r="C51" s="95" t="s">
        <v>75</v>
      </c>
      <c r="D51" s="95" t="s">
        <v>77</v>
      </c>
      <c r="E51" s="95" t="s">
        <v>71</v>
      </c>
      <c r="F51" s="95" t="s">
        <v>79</v>
      </c>
      <c r="G51" s="95" t="s">
        <v>82</v>
      </c>
      <c r="H51" s="95" t="s">
        <v>68</v>
      </c>
      <c r="I51" s="95" t="s">
        <v>15</v>
      </c>
      <c r="J51" s="95">
        <v>2</v>
      </c>
      <c r="K51" s="105">
        <v>1000000</v>
      </c>
      <c r="L51" s="106">
        <v>73000</v>
      </c>
      <c r="M51" s="105">
        <v>770000</v>
      </c>
      <c r="N51" s="106">
        <v>73000</v>
      </c>
      <c r="O51" s="94" t="s">
        <v>79</v>
      </c>
      <c r="P51" s="94" t="s">
        <v>15</v>
      </c>
      <c r="Q51" s="99" t="s">
        <v>205</v>
      </c>
      <c r="R51" s="86">
        <v>1</v>
      </c>
      <c r="S51" s="68" t="s">
        <v>82</v>
      </c>
      <c r="T51" s="49">
        <v>20000</v>
      </c>
      <c r="U51" s="49">
        <v>55000</v>
      </c>
      <c r="V51" s="99" t="s">
        <v>206</v>
      </c>
      <c r="W51" s="38">
        <v>10000</v>
      </c>
      <c r="X51" s="38">
        <v>20000</v>
      </c>
      <c r="Y51" s="99" t="s">
        <v>207</v>
      </c>
      <c r="Z51" s="107">
        <v>0</v>
      </c>
      <c r="AA51" s="112">
        <v>2000</v>
      </c>
      <c r="AB51" s="99" t="s">
        <v>207</v>
      </c>
      <c r="AC51" s="87">
        <v>0</v>
      </c>
      <c r="AD51" s="108">
        <v>0</v>
      </c>
      <c r="AE51" s="87">
        <v>0</v>
      </c>
      <c r="AF51" s="91" t="s">
        <v>82</v>
      </c>
      <c r="AG51" s="99" t="s">
        <v>208</v>
      </c>
      <c r="AH51" s="113">
        <v>2000</v>
      </c>
      <c r="AI51" s="68" t="s">
        <v>82</v>
      </c>
      <c r="AJ51" s="40" t="s">
        <v>82</v>
      </c>
      <c r="AK51" s="77" t="s">
        <v>82</v>
      </c>
      <c r="AL51" s="99" t="s">
        <v>209</v>
      </c>
      <c r="AM51" s="93" t="s">
        <v>82</v>
      </c>
      <c r="AN51" s="93" t="s">
        <v>82</v>
      </c>
      <c r="AO51" s="93" t="s">
        <v>82</v>
      </c>
      <c r="AP51" s="93" t="s">
        <v>82</v>
      </c>
      <c r="AQ51" s="93" t="s">
        <v>82</v>
      </c>
    </row>
    <row r="52" spans="1:43" x14ac:dyDescent="0.3">
      <c r="A52" s="3">
        <v>48</v>
      </c>
      <c r="B52" s="37" t="s">
        <v>138</v>
      </c>
      <c r="C52" s="95" t="s">
        <v>75</v>
      </c>
      <c r="D52" s="95" t="s">
        <v>77</v>
      </c>
      <c r="E52" s="95" t="s">
        <v>71</v>
      </c>
      <c r="F52" s="95" t="s">
        <v>79</v>
      </c>
      <c r="G52" s="95" t="s">
        <v>82</v>
      </c>
      <c r="H52" s="95" t="s">
        <v>68</v>
      </c>
      <c r="I52" s="95" t="s">
        <v>15</v>
      </c>
      <c r="J52" s="95">
        <v>2</v>
      </c>
      <c r="K52" s="105">
        <v>1550000</v>
      </c>
      <c r="L52" s="106">
        <v>177000</v>
      </c>
      <c r="M52" s="105">
        <v>810000</v>
      </c>
      <c r="N52" s="106">
        <v>177000</v>
      </c>
      <c r="O52" s="94" t="s">
        <v>124</v>
      </c>
      <c r="P52" s="94" t="s">
        <v>15</v>
      </c>
      <c r="Q52" s="99" t="s">
        <v>205</v>
      </c>
      <c r="R52" s="86">
        <v>1</v>
      </c>
      <c r="S52" s="68" t="s">
        <v>82</v>
      </c>
      <c r="T52" s="49">
        <v>12000</v>
      </c>
      <c r="U52" s="49">
        <v>60000</v>
      </c>
      <c r="V52" s="99" t="s">
        <v>206</v>
      </c>
      <c r="W52" s="38">
        <v>10000</v>
      </c>
      <c r="X52" s="38">
        <v>12000</v>
      </c>
      <c r="Y52" s="99" t="s">
        <v>207</v>
      </c>
      <c r="Z52" s="107">
        <v>0</v>
      </c>
      <c r="AA52" s="71">
        <v>4000</v>
      </c>
      <c r="AB52" s="99" t="s">
        <v>207</v>
      </c>
      <c r="AC52" s="87">
        <v>0</v>
      </c>
      <c r="AD52" s="108">
        <v>0</v>
      </c>
      <c r="AE52" s="87">
        <v>0</v>
      </c>
      <c r="AF52" s="91" t="s">
        <v>82</v>
      </c>
      <c r="AG52" s="99" t="s">
        <v>208</v>
      </c>
      <c r="AH52" s="109">
        <v>4000</v>
      </c>
      <c r="AI52" s="68" t="s">
        <v>82</v>
      </c>
      <c r="AJ52" s="87">
        <v>1500000</v>
      </c>
      <c r="AK52" s="78">
        <v>100000</v>
      </c>
      <c r="AL52" s="99" t="s">
        <v>209</v>
      </c>
      <c r="AM52" s="93" t="s">
        <v>82</v>
      </c>
      <c r="AN52" s="93" t="s">
        <v>82</v>
      </c>
      <c r="AO52" s="93" t="s">
        <v>82</v>
      </c>
      <c r="AP52" s="93" t="s">
        <v>82</v>
      </c>
      <c r="AQ52" s="93" t="s">
        <v>82</v>
      </c>
    </row>
    <row r="53" spans="1:43" x14ac:dyDescent="0.3">
      <c r="A53" s="3">
        <v>49</v>
      </c>
      <c r="B53" s="37" t="s">
        <v>139</v>
      </c>
      <c r="C53" s="95" t="s">
        <v>74</v>
      </c>
      <c r="D53" s="95" t="s">
        <v>77</v>
      </c>
      <c r="E53" s="95" t="s">
        <v>71</v>
      </c>
      <c r="F53" s="95" t="s">
        <v>79</v>
      </c>
      <c r="G53" s="95" t="s">
        <v>82</v>
      </c>
      <c r="H53" s="95" t="s">
        <v>68</v>
      </c>
      <c r="I53" s="95" t="s">
        <v>15</v>
      </c>
      <c r="J53" s="95">
        <v>2</v>
      </c>
      <c r="K53" s="105">
        <v>4500000</v>
      </c>
      <c r="L53" s="106">
        <v>73000</v>
      </c>
      <c r="M53" s="105">
        <v>250000</v>
      </c>
      <c r="N53" s="106">
        <v>56000</v>
      </c>
      <c r="O53" s="94" t="s">
        <v>124</v>
      </c>
      <c r="P53" s="94" t="s">
        <v>15</v>
      </c>
      <c r="Q53" s="99" t="s">
        <v>205</v>
      </c>
      <c r="R53" s="86">
        <v>1</v>
      </c>
      <c r="S53" s="68" t="s">
        <v>82</v>
      </c>
      <c r="T53" s="49">
        <v>20000</v>
      </c>
      <c r="U53" s="49">
        <v>70000</v>
      </c>
      <c r="V53" s="99" t="s">
        <v>206</v>
      </c>
      <c r="W53" s="38">
        <v>11000</v>
      </c>
      <c r="X53" s="38">
        <v>20000</v>
      </c>
      <c r="Y53" s="99" t="s">
        <v>207</v>
      </c>
      <c r="Z53" s="107">
        <v>0</v>
      </c>
      <c r="AA53" s="112">
        <v>5000</v>
      </c>
      <c r="AB53" s="99" t="s">
        <v>207</v>
      </c>
      <c r="AC53" s="87">
        <v>0</v>
      </c>
      <c r="AD53" s="108">
        <v>0</v>
      </c>
      <c r="AE53" s="87">
        <v>0</v>
      </c>
      <c r="AF53" s="91" t="s">
        <v>82</v>
      </c>
      <c r="AG53" s="99" t="s">
        <v>208</v>
      </c>
      <c r="AH53" s="113">
        <v>5000</v>
      </c>
      <c r="AI53" s="68" t="s">
        <v>82</v>
      </c>
      <c r="AJ53" s="87">
        <v>1450000</v>
      </c>
      <c r="AK53" s="78">
        <v>150000</v>
      </c>
      <c r="AL53" s="99" t="s">
        <v>209</v>
      </c>
      <c r="AM53" s="93" t="s">
        <v>82</v>
      </c>
      <c r="AN53" s="93" t="s">
        <v>82</v>
      </c>
      <c r="AO53" s="93" t="s">
        <v>82</v>
      </c>
      <c r="AP53" s="93" t="s">
        <v>82</v>
      </c>
      <c r="AQ53" s="93" t="s">
        <v>82</v>
      </c>
    </row>
    <row r="54" spans="1:43" x14ac:dyDescent="0.3">
      <c r="A54" s="3">
        <v>50</v>
      </c>
      <c r="B54" s="37" t="s">
        <v>140</v>
      </c>
      <c r="C54" s="95" t="s">
        <v>75</v>
      </c>
      <c r="D54" s="95" t="s">
        <v>77</v>
      </c>
      <c r="E54" s="95" t="s">
        <v>71</v>
      </c>
      <c r="F54" s="95" t="s">
        <v>79</v>
      </c>
      <c r="G54" s="95" t="s">
        <v>82</v>
      </c>
      <c r="H54" s="95" t="s">
        <v>68</v>
      </c>
      <c r="I54" s="95" t="s">
        <v>15</v>
      </c>
      <c r="J54" s="95">
        <v>2</v>
      </c>
      <c r="K54" s="105">
        <v>640000</v>
      </c>
      <c r="L54" s="106">
        <v>95000</v>
      </c>
      <c r="M54" s="105">
        <v>160000</v>
      </c>
      <c r="N54" s="106">
        <v>75000</v>
      </c>
      <c r="O54" s="94" t="s">
        <v>79</v>
      </c>
      <c r="P54" s="94" t="s">
        <v>15</v>
      </c>
      <c r="Q54" s="99" t="s">
        <v>205</v>
      </c>
      <c r="R54" s="86">
        <v>1</v>
      </c>
      <c r="S54" s="68" t="s">
        <v>82</v>
      </c>
      <c r="T54" s="49">
        <v>20000</v>
      </c>
      <c r="U54" s="49">
        <v>30000</v>
      </c>
      <c r="V54" s="99" t="s">
        <v>206</v>
      </c>
      <c r="W54" s="38">
        <v>10000</v>
      </c>
      <c r="X54" s="38">
        <v>20000</v>
      </c>
      <c r="Y54" s="99" t="s">
        <v>207</v>
      </c>
      <c r="Z54" s="107">
        <v>0</v>
      </c>
      <c r="AA54" s="112">
        <v>2000</v>
      </c>
      <c r="AB54" s="99" t="s">
        <v>207</v>
      </c>
      <c r="AC54" s="87">
        <v>0</v>
      </c>
      <c r="AD54" s="108">
        <v>0</v>
      </c>
      <c r="AE54" s="87">
        <v>0</v>
      </c>
      <c r="AF54" s="91" t="s">
        <v>82</v>
      </c>
      <c r="AG54" s="99" t="s">
        <v>208</v>
      </c>
      <c r="AH54" s="113">
        <v>2000</v>
      </c>
      <c r="AI54" s="68" t="s">
        <v>82</v>
      </c>
      <c r="AJ54" s="88" t="s">
        <v>82</v>
      </c>
      <c r="AK54" s="77" t="s">
        <v>82</v>
      </c>
      <c r="AL54" s="99" t="s">
        <v>209</v>
      </c>
      <c r="AM54" s="93" t="s">
        <v>82</v>
      </c>
      <c r="AN54" s="93" t="s">
        <v>82</v>
      </c>
      <c r="AO54" s="93" t="s">
        <v>82</v>
      </c>
      <c r="AP54" s="93" t="s">
        <v>82</v>
      </c>
      <c r="AQ54" s="93" t="s">
        <v>82</v>
      </c>
    </row>
    <row r="55" spans="1:43" x14ac:dyDescent="0.3">
      <c r="A55" s="3">
        <v>51</v>
      </c>
      <c r="B55" s="37" t="s">
        <v>141</v>
      </c>
      <c r="C55" s="95" t="s">
        <v>75</v>
      </c>
      <c r="D55" s="95" t="s">
        <v>77</v>
      </c>
      <c r="E55" s="95" t="s">
        <v>71</v>
      </c>
      <c r="F55" s="95" t="s">
        <v>79</v>
      </c>
      <c r="G55" s="95" t="s">
        <v>82</v>
      </c>
      <c r="H55" s="95" t="s">
        <v>68</v>
      </c>
      <c r="I55" s="95" t="s">
        <v>15</v>
      </c>
      <c r="J55" s="95">
        <v>2</v>
      </c>
      <c r="K55" s="105">
        <v>1950000</v>
      </c>
      <c r="L55" s="106">
        <v>346000</v>
      </c>
      <c r="M55" s="105">
        <v>1575000</v>
      </c>
      <c r="N55" s="106">
        <v>234000</v>
      </c>
      <c r="O55" s="94" t="s">
        <v>124</v>
      </c>
      <c r="P55" s="94" t="s">
        <v>15</v>
      </c>
      <c r="Q55" s="99" t="s">
        <v>205</v>
      </c>
      <c r="R55" s="86">
        <v>1</v>
      </c>
      <c r="S55" s="68" t="s">
        <v>82</v>
      </c>
      <c r="T55" s="49">
        <v>60000</v>
      </c>
      <c r="U55" s="49">
        <v>90000</v>
      </c>
      <c r="V55" s="99" t="s">
        <v>206</v>
      </c>
      <c r="W55" s="38">
        <v>27000</v>
      </c>
      <c r="X55" s="38">
        <v>60000</v>
      </c>
      <c r="Y55" s="99" t="s">
        <v>207</v>
      </c>
      <c r="Z55" s="107">
        <v>0</v>
      </c>
      <c r="AA55" s="112">
        <v>5000</v>
      </c>
      <c r="AB55" s="99" t="s">
        <v>207</v>
      </c>
      <c r="AC55" s="87">
        <v>0</v>
      </c>
      <c r="AD55" s="108">
        <v>0</v>
      </c>
      <c r="AE55" s="87">
        <v>0</v>
      </c>
      <c r="AF55" s="91" t="s">
        <v>82</v>
      </c>
      <c r="AG55" s="99" t="s">
        <v>208</v>
      </c>
      <c r="AH55" s="113">
        <v>5000</v>
      </c>
      <c r="AI55" s="68" t="s">
        <v>82</v>
      </c>
      <c r="AJ55" s="87">
        <v>850000</v>
      </c>
      <c r="AK55" s="78">
        <v>100000</v>
      </c>
      <c r="AL55" s="99" t="s">
        <v>209</v>
      </c>
      <c r="AM55" s="93" t="s">
        <v>82</v>
      </c>
      <c r="AN55" s="93" t="s">
        <v>82</v>
      </c>
      <c r="AO55" s="93" t="s">
        <v>82</v>
      </c>
      <c r="AP55" s="93" t="s">
        <v>82</v>
      </c>
      <c r="AQ55" s="93" t="s">
        <v>82</v>
      </c>
    </row>
    <row r="56" spans="1:43" ht="15.6" x14ac:dyDescent="0.3">
      <c r="A56" s="3">
        <v>52</v>
      </c>
      <c r="B56" s="37" t="s">
        <v>142</v>
      </c>
      <c r="C56" s="95" t="s">
        <v>74</v>
      </c>
      <c r="D56" s="95" t="s">
        <v>76</v>
      </c>
      <c r="E56" s="95" t="s">
        <v>71</v>
      </c>
      <c r="F56" s="95" t="s">
        <v>79</v>
      </c>
      <c r="G56" s="95" t="s">
        <v>82</v>
      </c>
      <c r="H56" s="95" t="s">
        <v>68</v>
      </c>
      <c r="I56" s="95" t="s">
        <v>15</v>
      </c>
      <c r="J56" s="95">
        <v>2</v>
      </c>
      <c r="K56" s="110">
        <v>240000</v>
      </c>
      <c r="L56" s="106">
        <v>115000</v>
      </c>
      <c r="M56" s="110">
        <v>15000</v>
      </c>
      <c r="N56" s="106">
        <v>28000</v>
      </c>
      <c r="O56" s="94" t="s">
        <v>124</v>
      </c>
      <c r="P56" s="94" t="s">
        <v>15</v>
      </c>
      <c r="Q56" s="99" t="s">
        <v>205</v>
      </c>
      <c r="R56" s="86">
        <v>2</v>
      </c>
      <c r="S56" s="68" t="s">
        <v>82</v>
      </c>
      <c r="T56" s="38">
        <v>16000</v>
      </c>
      <c r="U56" s="38">
        <v>75000</v>
      </c>
      <c r="V56" s="99" t="s">
        <v>206</v>
      </c>
      <c r="W56" s="38">
        <v>9000</v>
      </c>
      <c r="X56" s="38">
        <v>16000</v>
      </c>
      <c r="Y56" s="99" t="s">
        <v>207</v>
      </c>
      <c r="Z56" s="107">
        <v>0</v>
      </c>
      <c r="AA56" s="112">
        <v>5000</v>
      </c>
      <c r="AB56" s="99" t="s">
        <v>207</v>
      </c>
      <c r="AC56" s="87">
        <v>0</v>
      </c>
      <c r="AD56" s="108">
        <v>0</v>
      </c>
      <c r="AE56" s="87">
        <v>0</v>
      </c>
      <c r="AF56" s="91" t="s">
        <v>82</v>
      </c>
      <c r="AG56" s="99" t="s">
        <v>208</v>
      </c>
      <c r="AH56" s="113">
        <v>5000</v>
      </c>
      <c r="AI56" s="68" t="s">
        <v>82</v>
      </c>
      <c r="AJ56" s="87">
        <v>530000</v>
      </c>
      <c r="AK56" s="78">
        <v>70000</v>
      </c>
      <c r="AL56" s="99" t="s">
        <v>209</v>
      </c>
      <c r="AM56" s="93" t="s">
        <v>82</v>
      </c>
      <c r="AN56" s="93" t="s">
        <v>82</v>
      </c>
      <c r="AO56" s="93" t="s">
        <v>82</v>
      </c>
      <c r="AP56" s="93" t="s">
        <v>82</v>
      </c>
      <c r="AQ56" s="93" t="s">
        <v>82</v>
      </c>
    </row>
    <row r="57" spans="1:43" ht="15.6" x14ac:dyDescent="0.3">
      <c r="A57" s="3">
        <v>53</v>
      </c>
      <c r="B57" s="37" t="s">
        <v>143</v>
      </c>
      <c r="C57" s="95" t="s">
        <v>74</v>
      </c>
      <c r="D57" s="95" t="s">
        <v>77</v>
      </c>
      <c r="E57" s="95" t="s">
        <v>71</v>
      </c>
      <c r="F57" s="95" t="s">
        <v>79</v>
      </c>
      <c r="G57" s="95" t="s">
        <v>82</v>
      </c>
      <c r="H57" s="95" t="s">
        <v>68</v>
      </c>
      <c r="I57" s="95" t="s">
        <v>15</v>
      </c>
      <c r="J57" s="95">
        <v>2</v>
      </c>
      <c r="K57" s="110">
        <v>390000</v>
      </c>
      <c r="L57" s="106">
        <v>82000</v>
      </c>
      <c r="M57" s="110">
        <v>340000</v>
      </c>
      <c r="N57" s="106">
        <v>82000</v>
      </c>
      <c r="O57" s="94" t="s">
        <v>124</v>
      </c>
      <c r="P57" s="94" t="s">
        <v>15</v>
      </c>
      <c r="Q57" s="99" t="s">
        <v>205</v>
      </c>
      <c r="R57" s="86">
        <v>1</v>
      </c>
      <c r="S57" s="68" t="s">
        <v>82</v>
      </c>
      <c r="T57" s="38">
        <v>20000</v>
      </c>
      <c r="U57" s="38">
        <v>50000</v>
      </c>
      <c r="V57" s="99" t="s">
        <v>206</v>
      </c>
      <c r="W57" s="38">
        <v>9000</v>
      </c>
      <c r="X57" s="38">
        <v>20000</v>
      </c>
      <c r="Y57" s="99" t="s">
        <v>207</v>
      </c>
      <c r="Z57" s="107">
        <v>0</v>
      </c>
      <c r="AA57" s="71">
        <v>5000</v>
      </c>
      <c r="AB57" s="99" t="s">
        <v>207</v>
      </c>
      <c r="AC57" s="87">
        <v>0</v>
      </c>
      <c r="AD57" s="108">
        <v>0</v>
      </c>
      <c r="AE57" s="87">
        <v>0</v>
      </c>
      <c r="AF57" s="91" t="s">
        <v>82</v>
      </c>
      <c r="AG57" s="99" t="s">
        <v>208</v>
      </c>
      <c r="AH57" s="109">
        <v>5000</v>
      </c>
      <c r="AI57" s="68" t="s">
        <v>82</v>
      </c>
      <c r="AJ57" s="40" t="s">
        <v>82</v>
      </c>
      <c r="AK57" s="77" t="s">
        <v>82</v>
      </c>
      <c r="AL57" s="99" t="s">
        <v>209</v>
      </c>
      <c r="AM57" s="93" t="s">
        <v>82</v>
      </c>
      <c r="AN57" s="93" t="s">
        <v>82</v>
      </c>
      <c r="AO57" s="93" t="s">
        <v>82</v>
      </c>
      <c r="AP57" s="93" t="s">
        <v>82</v>
      </c>
      <c r="AQ57" s="93" t="s">
        <v>82</v>
      </c>
    </row>
    <row r="58" spans="1:43" ht="15.6" x14ac:dyDescent="0.3">
      <c r="A58" s="3">
        <v>54</v>
      </c>
      <c r="B58" s="37" t="s">
        <v>144</v>
      </c>
      <c r="C58" s="95" t="s">
        <v>75</v>
      </c>
      <c r="D58" s="95" t="s">
        <v>77</v>
      </c>
      <c r="E58" s="95" t="s">
        <v>71</v>
      </c>
      <c r="F58" s="95" t="s">
        <v>79</v>
      </c>
      <c r="G58" s="95" t="s">
        <v>82</v>
      </c>
      <c r="H58" s="95" t="s">
        <v>68</v>
      </c>
      <c r="I58" s="95" t="s">
        <v>15</v>
      </c>
      <c r="J58" s="95">
        <v>2</v>
      </c>
      <c r="K58" s="110">
        <v>360000</v>
      </c>
      <c r="L58" s="106">
        <v>95000</v>
      </c>
      <c r="M58" s="110">
        <v>250000</v>
      </c>
      <c r="N58" s="106">
        <v>65000</v>
      </c>
      <c r="O58" s="94" t="s">
        <v>124</v>
      </c>
      <c r="P58" s="94" t="s">
        <v>15</v>
      </c>
      <c r="Q58" s="99" t="s">
        <v>205</v>
      </c>
      <c r="R58" s="86">
        <v>2</v>
      </c>
      <c r="S58" s="68" t="s">
        <v>82</v>
      </c>
      <c r="T58" s="38">
        <v>12000</v>
      </c>
      <c r="U58" s="38">
        <v>45000</v>
      </c>
      <c r="V58" s="99" t="s">
        <v>206</v>
      </c>
      <c r="W58" s="38">
        <v>8000</v>
      </c>
      <c r="X58" s="38">
        <v>12000</v>
      </c>
      <c r="Y58" s="99" t="s">
        <v>207</v>
      </c>
      <c r="Z58" s="107">
        <v>0</v>
      </c>
      <c r="AA58" s="112">
        <v>5000</v>
      </c>
      <c r="AB58" s="99" t="s">
        <v>207</v>
      </c>
      <c r="AC58" s="87">
        <v>0</v>
      </c>
      <c r="AD58" s="108">
        <v>0</v>
      </c>
      <c r="AE58" s="87">
        <v>0</v>
      </c>
      <c r="AF58" s="91" t="s">
        <v>82</v>
      </c>
      <c r="AG58" s="99" t="s">
        <v>208</v>
      </c>
      <c r="AH58" s="113">
        <v>5000</v>
      </c>
      <c r="AI58" s="68" t="s">
        <v>82</v>
      </c>
      <c r="AJ58" s="87">
        <v>900000</v>
      </c>
      <c r="AK58" s="79">
        <v>75000</v>
      </c>
      <c r="AL58" s="99" t="s">
        <v>209</v>
      </c>
      <c r="AM58" s="93" t="s">
        <v>82</v>
      </c>
      <c r="AN58" s="93" t="s">
        <v>82</v>
      </c>
      <c r="AO58" s="93" t="s">
        <v>82</v>
      </c>
      <c r="AP58" s="93" t="s">
        <v>82</v>
      </c>
      <c r="AQ58" s="93" t="s">
        <v>82</v>
      </c>
    </row>
    <row r="59" spans="1:43" ht="15.6" x14ac:dyDescent="0.3">
      <c r="A59" s="3">
        <v>55</v>
      </c>
      <c r="B59" s="37" t="s">
        <v>145</v>
      </c>
      <c r="C59" s="95" t="s">
        <v>75</v>
      </c>
      <c r="D59" s="95" t="s">
        <v>76</v>
      </c>
      <c r="E59" s="95" t="s">
        <v>71</v>
      </c>
      <c r="F59" s="95" t="s">
        <v>79</v>
      </c>
      <c r="G59" s="95" t="s">
        <v>82</v>
      </c>
      <c r="H59" s="95" t="s">
        <v>68</v>
      </c>
      <c r="I59" s="95" t="s">
        <v>15</v>
      </c>
      <c r="J59" s="95">
        <v>2</v>
      </c>
      <c r="K59" s="110">
        <v>750000</v>
      </c>
      <c r="L59" s="106">
        <v>110000</v>
      </c>
      <c r="M59" s="110">
        <v>350000</v>
      </c>
      <c r="N59" s="106">
        <v>90000</v>
      </c>
      <c r="O59" s="94" t="s">
        <v>124</v>
      </c>
      <c r="P59" s="94" t="s">
        <v>15</v>
      </c>
      <c r="Q59" s="99" t="s">
        <v>205</v>
      </c>
      <c r="R59" s="86">
        <v>1</v>
      </c>
      <c r="S59" s="68" t="s">
        <v>82</v>
      </c>
      <c r="T59" s="38">
        <v>12000</v>
      </c>
      <c r="U59" s="38">
        <v>40000</v>
      </c>
      <c r="V59" s="99" t="s">
        <v>206</v>
      </c>
      <c r="W59" s="38">
        <v>10000</v>
      </c>
      <c r="X59" s="38">
        <v>12000</v>
      </c>
      <c r="Y59" s="99" t="s">
        <v>207</v>
      </c>
      <c r="Z59" s="107">
        <v>0</v>
      </c>
      <c r="AA59" s="71">
        <v>3000</v>
      </c>
      <c r="AB59" s="99" t="s">
        <v>207</v>
      </c>
      <c r="AC59" s="87">
        <v>0</v>
      </c>
      <c r="AD59" s="108">
        <v>0</v>
      </c>
      <c r="AE59" s="87">
        <v>0</v>
      </c>
      <c r="AF59" s="91" t="s">
        <v>82</v>
      </c>
      <c r="AG59" s="99" t="s">
        <v>208</v>
      </c>
      <c r="AH59" s="109">
        <v>3000</v>
      </c>
      <c r="AI59" s="68" t="s">
        <v>82</v>
      </c>
      <c r="AJ59" s="87">
        <v>300000</v>
      </c>
      <c r="AK59" s="80">
        <v>110000</v>
      </c>
      <c r="AL59" s="99" t="s">
        <v>209</v>
      </c>
      <c r="AM59" s="93" t="s">
        <v>82</v>
      </c>
      <c r="AN59" s="93" t="s">
        <v>82</v>
      </c>
      <c r="AO59" s="93" t="s">
        <v>82</v>
      </c>
      <c r="AP59" s="93" t="s">
        <v>82</v>
      </c>
      <c r="AQ59" s="93" t="s">
        <v>82</v>
      </c>
    </row>
    <row r="60" spans="1:43" ht="16.2" thickBot="1" x14ac:dyDescent="0.35">
      <c r="A60" s="3">
        <v>56</v>
      </c>
      <c r="B60" s="37" t="s">
        <v>146</v>
      </c>
      <c r="C60" s="95" t="s">
        <v>74</v>
      </c>
      <c r="D60" s="95" t="s">
        <v>77</v>
      </c>
      <c r="E60" s="95" t="s">
        <v>71</v>
      </c>
      <c r="F60" s="95" t="s">
        <v>79</v>
      </c>
      <c r="G60" s="95" t="s">
        <v>82</v>
      </c>
      <c r="H60" s="95" t="s">
        <v>68</v>
      </c>
      <c r="I60" s="95" t="s">
        <v>15</v>
      </c>
      <c r="J60" s="95">
        <v>2</v>
      </c>
      <c r="K60" s="110">
        <v>1060000</v>
      </c>
      <c r="L60" s="106">
        <v>52000</v>
      </c>
      <c r="M60" s="110">
        <v>390000</v>
      </c>
      <c r="N60" s="106">
        <v>42000</v>
      </c>
      <c r="O60" s="94" t="s">
        <v>124</v>
      </c>
      <c r="P60" s="94" t="s">
        <v>15</v>
      </c>
      <c r="Q60" s="99" t="s">
        <v>205</v>
      </c>
      <c r="R60" s="86">
        <v>1</v>
      </c>
      <c r="S60" s="68" t="s">
        <v>82</v>
      </c>
      <c r="T60" s="38">
        <v>20000</v>
      </c>
      <c r="U60" s="38">
        <v>60000</v>
      </c>
      <c r="V60" s="99" t="s">
        <v>206</v>
      </c>
      <c r="W60" s="38">
        <v>0</v>
      </c>
      <c r="X60" s="38">
        <v>20000</v>
      </c>
      <c r="Y60" s="99" t="s">
        <v>207</v>
      </c>
      <c r="Z60" s="107">
        <v>0</v>
      </c>
      <c r="AA60" s="71">
        <v>5000</v>
      </c>
      <c r="AB60" s="99" t="s">
        <v>207</v>
      </c>
      <c r="AC60" s="87">
        <v>0</v>
      </c>
      <c r="AD60" s="108">
        <v>0</v>
      </c>
      <c r="AE60" s="87">
        <v>0</v>
      </c>
      <c r="AF60" s="91" t="s">
        <v>82</v>
      </c>
      <c r="AG60" s="99" t="s">
        <v>208</v>
      </c>
      <c r="AH60" s="109">
        <v>5000</v>
      </c>
      <c r="AI60" s="68" t="s">
        <v>82</v>
      </c>
      <c r="AJ60" s="87">
        <v>650000</v>
      </c>
      <c r="AK60" s="81">
        <v>100000</v>
      </c>
      <c r="AL60" s="99" t="s">
        <v>209</v>
      </c>
      <c r="AM60" s="93" t="s">
        <v>82</v>
      </c>
      <c r="AN60" s="93" t="s">
        <v>82</v>
      </c>
      <c r="AO60" s="93" t="s">
        <v>82</v>
      </c>
      <c r="AP60" s="93" t="s">
        <v>82</v>
      </c>
      <c r="AQ60" s="93" t="s">
        <v>82</v>
      </c>
    </row>
    <row r="61" spans="1:43" ht="15.6" x14ac:dyDescent="0.3">
      <c r="A61" s="3">
        <v>57</v>
      </c>
      <c r="B61" s="37" t="s">
        <v>147</v>
      </c>
      <c r="C61" s="95" t="s">
        <v>74</v>
      </c>
      <c r="D61" s="95" t="s">
        <v>76</v>
      </c>
      <c r="E61" s="95" t="s">
        <v>71</v>
      </c>
      <c r="F61" s="95" t="s">
        <v>79</v>
      </c>
      <c r="G61" s="95" t="s">
        <v>82</v>
      </c>
      <c r="H61" s="95" t="s">
        <v>68</v>
      </c>
      <c r="I61" s="95" t="s">
        <v>15</v>
      </c>
      <c r="J61" s="95">
        <v>2</v>
      </c>
      <c r="K61" s="110">
        <v>399000</v>
      </c>
      <c r="L61" s="106">
        <v>259000</v>
      </c>
      <c r="M61" s="110">
        <v>225000</v>
      </c>
      <c r="N61" s="106">
        <v>338000</v>
      </c>
      <c r="O61" s="94" t="s">
        <v>124</v>
      </c>
      <c r="P61" s="95" t="s">
        <v>15</v>
      </c>
      <c r="Q61" s="99" t="s">
        <v>205</v>
      </c>
      <c r="R61" s="86">
        <v>1</v>
      </c>
      <c r="S61" s="68" t="s">
        <v>82</v>
      </c>
      <c r="T61" s="38">
        <v>40000</v>
      </c>
      <c r="U61" s="68" t="s">
        <v>82</v>
      </c>
      <c r="V61" s="99" t="s">
        <v>206</v>
      </c>
      <c r="W61" s="38">
        <v>15000</v>
      </c>
      <c r="X61" s="38">
        <v>40000</v>
      </c>
      <c r="Y61" s="99" t="s">
        <v>207</v>
      </c>
      <c r="Z61" s="107">
        <v>0</v>
      </c>
      <c r="AA61" s="112">
        <v>2000</v>
      </c>
      <c r="AB61" s="99" t="s">
        <v>207</v>
      </c>
      <c r="AC61" s="87">
        <v>0</v>
      </c>
      <c r="AD61" s="108">
        <v>0</v>
      </c>
      <c r="AE61" s="87">
        <v>0</v>
      </c>
      <c r="AF61" s="91" t="s">
        <v>82</v>
      </c>
      <c r="AG61" s="99" t="s">
        <v>208</v>
      </c>
      <c r="AH61" s="113">
        <v>2000</v>
      </c>
      <c r="AI61" s="68" t="s">
        <v>82</v>
      </c>
      <c r="AJ61" s="88" t="s">
        <v>82</v>
      </c>
      <c r="AK61" s="93" t="s">
        <v>82</v>
      </c>
      <c r="AL61" s="99" t="s">
        <v>209</v>
      </c>
      <c r="AM61" s="93" t="s">
        <v>82</v>
      </c>
      <c r="AN61" s="93" t="s">
        <v>82</v>
      </c>
      <c r="AO61" s="93" t="s">
        <v>82</v>
      </c>
      <c r="AP61" s="93" t="s">
        <v>82</v>
      </c>
      <c r="AQ61" s="93" t="s">
        <v>82</v>
      </c>
    </row>
    <row r="62" spans="1:43" x14ac:dyDescent="0.3">
      <c r="A62" s="3">
        <v>58</v>
      </c>
      <c r="B62" s="12" t="s">
        <v>210</v>
      </c>
      <c r="C62" s="95" t="s">
        <v>75</v>
      </c>
      <c r="D62" s="95" t="s">
        <v>77</v>
      </c>
      <c r="E62" s="95" t="s">
        <v>45</v>
      </c>
      <c r="F62" s="95" t="s">
        <v>15</v>
      </c>
      <c r="G62" s="95" t="s">
        <v>80</v>
      </c>
      <c r="H62" s="95" t="s">
        <v>215</v>
      </c>
      <c r="I62" s="95" t="s">
        <v>15</v>
      </c>
      <c r="J62" s="95">
        <v>2</v>
      </c>
      <c r="K62" s="106">
        <v>190000</v>
      </c>
      <c r="L62" s="106">
        <v>7200</v>
      </c>
      <c r="M62" s="85" t="s">
        <v>82</v>
      </c>
      <c r="N62" s="85" t="s">
        <v>82</v>
      </c>
      <c r="O62" s="94" t="s">
        <v>15</v>
      </c>
      <c r="P62" s="94" t="s">
        <v>15</v>
      </c>
      <c r="Q62" s="99" t="s">
        <v>217</v>
      </c>
      <c r="R62" s="86">
        <v>1</v>
      </c>
      <c r="S62" s="97">
        <v>10000</v>
      </c>
      <c r="T62" s="97">
        <v>20000</v>
      </c>
      <c r="U62" s="68" t="s">
        <v>82</v>
      </c>
      <c r="V62" s="99" t="s">
        <v>218</v>
      </c>
      <c r="W62" s="97">
        <v>20000</v>
      </c>
      <c r="X62" s="87">
        <v>30000</v>
      </c>
      <c r="Y62" s="68" t="s">
        <v>82</v>
      </c>
      <c r="Z62" s="107">
        <v>0</v>
      </c>
      <c r="AA62" s="87">
        <v>1000</v>
      </c>
      <c r="AB62" s="99" t="s">
        <v>220</v>
      </c>
      <c r="AC62" s="87">
        <v>0</v>
      </c>
      <c r="AD62" s="87">
        <v>0</v>
      </c>
      <c r="AE62" s="87">
        <v>0</v>
      </c>
      <c r="AF62" s="91" t="s">
        <v>82</v>
      </c>
      <c r="AG62" s="99" t="s">
        <v>220</v>
      </c>
      <c r="AH62" s="97">
        <v>1000</v>
      </c>
      <c r="AI62" s="99" t="s">
        <v>220</v>
      </c>
      <c r="AJ62" s="87">
        <v>150000</v>
      </c>
      <c r="AK62" s="52">
        <v>50000</v>
      </c>
      <c r="AL62" s="99" t="s">
        <v>221</v>
      </c>
      <c r="AM62" s="93" t="s">
        <v>82</v>
      </c>
      <c r="AN62" s="93" t="s">
        <v>82</v>
      </c>
      <c r="AO62" s="93" t="s">
        <v>82</v>
      </c>
      <c r="AP62" s="93" t="s">
        <v>82</v>
      </c>
      <c r="AQ62" s="93" t="s">
        <v>82</v>
      </c>
    </row>
    <row r="63" spans="1:43" x14ac:dyDescent="0.3">
      <c r="A63" s="3">
        <v>59</v>
      </c>
      <c r="B63" s="12" t="s">
        <v>211</v>
      </c>
      <c r="C63" s="95" t="s">
        <v>74</v>
      </c>
      <c r="D63" s="95" t="s">
        <v>76</v>
      </c>
      <c r="E63" s="95" t="s">
        <v>45</v>
      </c>
      <c r="F63" s="95" t="s">
        <v>15</v>
      </c>
      <c r="G63" s="95" t="s">
        <v>80</v>
      </c>
      <c r="H63" s="95" t="s">
        <v>215</v>
      </c>
      <c r="I63" s="95" t="s">
        <v>15</v>
      </c>
      <c r="J63" s="95">
        <v>2</v>
      </c>
      <c r="K63" s="106">
        <v>190000</v>
      </c>
      <c r="L63" s="106">
        <v>7200</v>
      </c>
      <c r="M63" s="85" t="s">
        <v>82</v>
      </c>
      <c r="N63" s="85" t="s">
        <v>82</v>
      </c>
      <c r="O63" s="94" t="s">
        <v>15</v>
      </c>
      <c r="P63" s="94" t="s">
        <v>15</v>
      </c>
      <c r="Q63" s="99" t="s">
        <v>217</v>
      </c>
      <c r="R63" s="86">
        <v>1</v>
      </c>
      <c r="S63" s="97">
        <v>8000</v>
      </c>
      <c r="T63" s="97">
        <v>30000</v>
      </c>
      <c r="U63" s="68" t="s">
        <v>82</v>
      </c>
      <c r="V63" s="99" t="s">
        <v>218</v>
      </c>
      <c r="W63" s="97">
        <v>20000</v>
      </c>
      <c r="X63" s="87">
        <v>40000</v>
      </c>
      <c r="Y63" s="68" t="s">
        <v>82</v>
      </c>
      <c r="Z63" s="107">
        <v>0</v>
      </c>
      <c r="AA63" s="87">
        <v>2000</v>
      </c>
      <c r="AB63" s="99" t="s">
        <v>220</v>
      </c>
      <c r="AC63" s="87">
        <v>0</v>
      </c>
      <c r="AD63" s="87">
        <v>0</v>
      </c>
      <c r="AE63" s="87">
        <v>0</v>
      </c>
      <c r="AF63" s="91" t="s">
        <v>82</v>
      </c>
      <c r="AG63" s="99" t="s">
        <v>220</v>
      </c>
      <c r="AH63" s="97">
        <v>2000</v>
      </c>
      <c r="AI63" s="99" t="s">
        <v>220</v>
      </c>
      <c r="AJ63" s="87">
        <v>110000</v>
      </c>
      <c r="AK63" s="52">
        <v>60000</v>
      </c>
      <c r="AL63" s="99" t="s">
        <v>221</v>
      </c>
      <c r="AM63" s="93" t="s">
        <v>82</v>
      </c>
      <c r="AN63" s="93" t="s">
        <v>82</v>
      </c>
      <c r="AO63" s="93" t="s">
        <v>82</v>
      </c>
      <c r="AP63" s="93" t="s">
        <v>82</v>
      </c>
      <c r="AQ63" s="93" t="s">
        <v>82</v>
      </c>
    </row>
    <row r="64" spans="1:43" x14ac:dyDescent="0.3">
      <c r="A64" s="3">
        <v>60</v>
      </c>
      <c r="B64" s="12" t="s">
        <v>212</v>
      </c>
      <c r="C64" s="95" t="s">
        <v>74</v>
      </c>
      <c r="D64" s="95" t="s">
        <v>77</v>
      </c>
      <c r="E64" s="95" t="s">
        <v>45</v>
      </c>
      <c r="F64" s="95" t="s">
        <v>15</v>
      </c>
      <c r="G64" s="95" t="s">
        <v>81</v>
      </c>
      <c r="H64" s="95" t="s">
        <v>215</v>
      </c>
      <c r="I64" s="95" t="s">
        <v>15</v>
      </c>
      <c r="J64" s="95">
        <v>2</v>
      </c>
      <c r="K64" s="106">
        <v>190000</v>
      </c>
      <c r="L64" s="106">
        <v>7200</v>
      </c>
      <c r="M64" s="85" t="s">
        <v>82</v>
      </c>
      <c r="N64" s="85" t="s">
        <v>82</v>
      </c>
      <c r="O64" s="94" t="s">
        <v>15</v>
      </c>
      <c r="P64" s="94" t="s">
        <v>15</v>
      </c>
      <c r="Q64" s="99" t="s">
        <v>217</v>
      </c>
      <c r="R64" s="86">
        <v>1</v>
      </c>
      <c r="S64" s="97">
        <v>10000</v>
      </c>
      <c r="T64" s="97">
        <v>30000</v>
      </c>
      <c r="U64" s="68" t="s">
        <v>82</v>
      </c>
      <c r="V64" s="99" t="s">
        <v>218</v>
      </c>
      <c r="W64" s="97">
        <v>20000</v>
      </c>
      <c r="X64" s="87">
        <v>50000</v>
      </c>
      <c r="Y64" s="68" t="s">
        <v>82</v>
      </c>
      <c r="Z64" s="107">
        <v>0</v>
      </c>
      <c r="AA64" s="87">
        <v>0</v>
      </c>
      <c r="AB64" s="99" t="s">
        <v>220</v>
      </c>
      <c r="AC64" s="87">
        <v>0</v>
      </c>
      <c r="AD64" s="87">
        <v>0</v>
      </c>
      <c r="AE64" s="87">
        <v>0</v>
      </c>
      <c r="AF64" s="91" t="s">
        <v>82</v>
      </c>
      <c r="AG64" s="99" t="s">
        <v>220</v>
      </c>
      <c r="AH64" s="97">
        <v>0</v>
      </c>
      <c r="AI64" s="99" t="s">
        <v>220</v>
      </c>
      <c r="AJ64" s="87">
        <v>190000</v>
      </c>
      <c r="AK64" s="52">
        <v>80000</v>
      </c>
      <c r="AL64" s="99" t="s">
        <v>221</v>
      </c>
      <c r="AM64" s="93" t="s">
        <v>82</v>
      </c>
      <c r="AN64" s="93" t="s">
        <v>82</v>
      </c>
      <c r="AO64" s="93" t="s">
        <v>82</v>
      </c>
      <c r="AP64" s="93" t="s">
        <v>82</v>
      </c>
      <c r="AQ64" s="93" t="s">
        <v>82</v>
      </c>
    </row>
    <row r="65" spans="1:43" x14ac:dyDescent="0.3">
      <c r="A65" s="3">
        <v>61</v>
      </c>
      <c r="B65" s="12" t="s">
        <v>213</v>
      </c>
      <c r="C65" s="95" t="s">
        <v>74</v>
      </c>
      <c r="D65" s="95" t="s">
        <v>77</v>
      </c>
      <c r="E65" s="95" t="s">
        <v>45</v>
      </c>
      <c r="F65" s="95" t="s">
        <v>15</v>
      </c>
      <c r="G65" s="95" t="s">
        <v>80</v>
      </c>
      <c r="H65" s="95" t="s">
        <v>215</v>
      </c>
      <c r="I65" s="95" t="s">
        <v>15</v>
      </c>
      <c r="J65" s="95">
        <v>2</v>
      </c>
      <c r="K65" s="106">
        <v>190000</v>
      </c>
      <c r="L65" s="106">
        <v>7200</v>
      </c>
      <c r="M65" s="85" t="s">
        <v>82</v>
      </c>
      <c r="N65" s="85" t="s">
        <v>82</v>
      </c>
      <c r="O65" s="94" t="s">
        <v>15</v>
      </c>
      <c r="P65" s="94" t="s">
        <v>15</v>
      </c>
      <c r="Q65" s="99" t="s">
        <v>217</v>
      </c>
      <c r="R65" s="86">
        <v>1</v>
      </c>
      <c r="S65" s="97">
        <v>15000</v>
      </c>
      <c r="T65" s="97">
        <v>25000</v>
      </c>
      <c r="U65" s="68" t="s">
        <v>82</v>
      </c>
      <c r="V65" s="99" t="s">
        <v>218</v>
      </c>
      <c r="W65" s="97">
        <v>30000</v>
      </c>
      <c r="X65" s="87">
        <v>40000</v>
      </c>
      <c r="Y65" s="68" t="s">
        <v>82</v>
      </c>
      <c r="Z65" s="107">
        <v>0</v>
      </c>
      <c r="AA65" s="87">
        <v>0</v>
      </c>
      <c r="AB65" s="99" t="s">
        <v>220</v>
      </c>
      <c r="AC65" s="87">
        <v>0</v>
      </c>
      <c r="AD65" s="87">
        <v>0</v>
      </c>
      <c r="AE65" s="87">
        <v>0</v>
      </c>
      <c r="AF65" s="91" t="s">
        <v>82</v>
      </c>
      <c r="AG65" s="99" t="s">
        <v>220</v>
      </c>
      <c r="AH65" s="97">
        <v>0</v>
      </c>
      <c r="AI65" s="99" t="s">
        <v>220</v>
      </c>
      <c r="AJ65" s="87">
        <v>172000</v>
      </c>
      <c r="AK65" s="52">
        <v>90000</v>
      </c>
      <c r="AL65" s="99" t="s">
        <v>221</v>
      </c>
      <c r="AM65" s="93" t="s">
        <v>82</v>
      </c>
      <c r="AN65" s="93" t="s">
        <v>82</v>
      </c>
      <c r="AO65" s="93" t="s">
        <v>82</v>
      </c>
      <c r="AP65" s="93" t="s">
        <v>82</v>
      </c>
      <c r="AQ65" s="93" t="s">
        <v>82</v>
      </c>
    </row>
    <row r="66" spans="1:43" x14ac:dyDescent="0.3">
      <c r="A66" s="3">
        <v>62</v>
      </c>
      <c r="B66" s="12" t="s">
        <v>214</v>
      </c>
      <c r="C66" s="95" t="s">
        <v>75</v>
      </c>
      <c r="D66" s="95" t="s">
        <v>77</v>
      </c>
      <c r="E66" s="95" t="s">
        <v>45</v>
      </c>
      <c r="F66" s="95" t="s">
        <v>15</v>
      </c>
      <c r="G66" s="95" t="s">
        <v>80</v>
      </c>
      <c r="H66" s="95" t="s">
        <v>215</v>
      </c>
      <c r="I66" s="95" t="s">
        <v>15</v>
      </c>
      <c r="J66" s="95">
        <v>2</v>
      </c>
      <c r="K66" s="106">
        <v>400000</v>
      </c>
      <c r="L66" s="106">
        <v>12000</v>
      </c>
      <c r="M66" s="85" t="s">
        <v>82</v>
      </c>
      <c r="N66" s="85" t="s">
        <v>82</v>
      </c>
      <c r="O66" s="94" t="s">
        <v>15</v>
      </c>
      <c r="P66" s="94" t="s">
        <v>15</v>
      </c>
      <c r="Q66" s="99" t="s">
        <v>217</v>
      </c>
      <c r="R66" s="86">
        <v>1</v>
      </c>
      <c r="S66" s="97">
        <v>20000</v>
      </c>
      <c r="T66" s="97">
        <v>50000</v>
      </c>
      <c r="U66" s="68" t="s">
        <v>82</v>
      </c>
      <c r="V66" s="99" t="s">
        <v>218</v>
      </c>
      <c r="W66" s="97">
        <v>20000</v>
      </c>
      <c r="X66" s="87">
        <v>50000</v>
      </c>
      <c r="Y66" s="68" t="s">
        <v>82</v>
      </c>
      <c r="Z66" s="107">
        <v>0</v>
      </c>
      <c r="AA66" s="87">
        <v>1000</v>
      </c>
      <c r="AB66" s="99" t="s">
        <v>220</v>
      </c>
      <c r="AC66" s="87">
        <v>0</v>
      </c>
      <c r="AD66" s="87">
        <v>0</v>
      </c>
      <c r="AE66" s="87">
        <v>0</v>
      </c>
      <c r="AF66" s="91" t="s">
        <v>82</v>
      </c>
      <c r="AG66" s="99" t="s">
        <v>220</v>
      </c>
      <c r="AH66" s="97">
        <v>1000</v>
      </c>
      <c r="AI66" s="99" t="s">
        <v>220</v>
      </c>
      <c r="AJ66" s="87">
        <v>225000</v>
      </c>
      <c r="AK66" s="52">
        <v>80000</v>
      </c>
      <c r="AL66" s="99" t="s">
        <v>221</v>
      </c>
      <c r="AM66" s="93" t="s">
        <v>82</v>
      </c>
      <c r="AN66" s="93" t="s">
        <v>82</v>
      </c>
      <c r="AO66" s="93" t="s">
        <v>82</v>
      </c>
      <c r="AP66" s="93" t="s">
        <v>82</v>
      </c>
      <c r="AQ66" s="93" t="s">
        <v>82</v>
      </c>
    </row>
    <row r="67" spans="1:43" x14ac:dyDescent="0.3">
      <c r="A67" s="3">
        <v>63</v>
      </c>
      <c r="B67" s="12" t="s">
        <v>216</v>
      </c>
      <c r="C67" s="95" t="s">
        <v>72</v>
      </c>
      <c r="D67" s="95" t="s">
        <v>76</v>
      </c>
      <c r="E67" s="95" t="s">
        <v>45</v>
      </c>
      <c r="F67" s="95" t="s">
        <v>15</v>
      </c>
      <c r="G67" s="95" t="s">
        <v>81</v>
      </c>
      <c r="H67" s="95" t="s">
        <v>215</v>
      </c>
      <c r="I67" s="95" t="s">
        <v>15</v>
      </c>
      <c r="J67" s="95">
        <v>2</v>
      </c>
      <c r="K67" s="106">
        <v>190000</v>
      </c>
      <c r="L67" s="106">
        <v>7200</v>
      </c>
      <c r="M67" s="85" t="s">
        <v>82</v>
      </c>
      <c r="N67" s="85" t="s">
        <v>82</v>
      </c>
      <c r="O67" s="94" t="s">
        <v>15</v>
      </c>
      <c r="P67" s="94" t="s">
        <v>15</v>
      </c>
      <c r="Q67" s="99" t="s">
        <v>217</v>
      </c>
      <c r="R67" s="86">
        <v>1</v>
      </c>
      <c r="S67" s="97">
        <v>20000</v>
      </c>
      <c r="T67" s="97">
        <v>40000</v>
      </c>
      <c r="U67" s="68" t="s">
        <v>82</v>
      </c>
      <c r="V67" s="99" t="s">
        <v>218</v>
      </c>
      <c r="W67" s="97">
        <v>40000</v>
      </c>
      <c r="X67" s="87">
        <v>50000</v>
      </c>
      <c r="Y67" s="68" t="s">
        <v>82</v>
      </c>
      <c r="Z67" s="107">
        <v>0</v>
      </c>
      <c r="AA67" s="87">
        <v>1000</v>
      </c>
      <c r="AB67" s="99" t="s">
        <v>220</v>
      </c>
      <c r="AC67" s="87">
        <v>0</v>
      </c>
      <c r="AD67" s="87">
        <v>0</v>
      </c>
      <c r="AE67" s="87">
        <v>0</v>
      </c>
      <c r="AF67" s="91" t="s">
        <v>82</v>
      </c>
      <c r="AG67" s="99" t="s">
        <v>220</v>
      </c>
      <c r="AH67" s="97">
        <v>1000</v>
      </c>
      <c r="AI67" s="99" t="s">
        <v>220</v>
      </c>
      <c r="AJ67" s="87">
        <v>220000</v>
      </c>
      <c r="AK67" s="52">
        <v>80000</v>
      </c>
      <c r="AL67" s="99" t="s">
        <v>221</v>
      </c>
      <c r="AM67" s="93" t="s">
        <v>82</v>
      </c>
      <c r="AN67" s="93" t="s">
        <v>82</v>
      </c>
      <c r="AO67" s="93" t="s">
        <v>82</v>
      </c>
      <c r="AP67" s="93" t="s">
        <v>82</v>
      </c>
      <c r="AQ67" s="93" t="s">
        <v>82</v>
      </c>
    </row>
    <row r="68" spans="1:43" x14ac:dyDescent="0.3">
      <c r="A68" s="3"/>
      <c r="B68" s="2"/>
      <c r="C68" s="19"/>
      <c r="D68" s="19"/>
      <c r="E68" s="19"/>
      <c r="F68" s="19"/>
      <c r="G68" s="19"/>
      <c r="H68" s="19"/>
      <c r="I68" s="19"/>
      <c r="J68" s="19"/>
      <c r="K68" s="44"/>
      <c r="L68" s="44"/>
      <c r="M68" s="44"/>
      <c r="N68" s="44"/>
      <c r="O68" s="46"/>
      <c r="P68" s="46"/>
      <c r="Q68" s="42"/>
      <c r="R68" s="47"/>
      <c r="S68" s="44"/>
      <c r="T68" s="44"/>
      <c r="U68" s="44"/>
      <c r="V68" s="42"/>
      <c r="W68" s="44"/>
      <c r="X68" s="44"/>
      <c r="Y68" s="42"/>
      <c r="Z68" s="44"/>
      <c r="AA68" s="44"/>
      <c r="AB68" s="42"/>
      <c r="AC68" s="44"/>
      <c r="AD68" s="45"/>
      <c r="AE68" s="45"/>
      <c r="AF68" s="45"/>
      <c r="AG68" s="42"/>
      <c r="AH68" s="42"/>
      <c r="AI68" s="42"/>
      <c r="AJ68" s="57"/>
      <c r="AK68" s="42"/>
      <c r="AL68" s="2"/>
      <c r="AM68" s="2"/>
      <c r="AN68" s="2"/>
      <c r="AO68" s="2"/>
      <c r="AP68" s="2"/>
      <c r="AQ68" s="2"/>
    </row>
    <row r="69" spans="1:43" x14ac:dyDescent="0.3">
      <c r="A69" s="3"/>
      <c r="B69" s="2"/>
      <c r="C69" s="19"/>
      <c r="D69" s="19"/>
      <c r="E69" s="19"/>
      <c r="F69" s="19"/>
      <c r="G69" s="19"/>
      <c r="H69" s="19"/>
      <c r="I69" s="19"/>
      <c r="J69" s="19"/>
      <c r="K69" s="44"/>
      <c r="L69" s="44"/>
      <c r="M69" s="44"/>
      <c r="N69" s="44"/>
      <c r="O69" s="46"/>
      <c r="P69" s="46"/>
      <c r="Q69" s="42"/>
      <c r="R69" s="47"/>
      <c r="S69" s="44"/>
      <c r="T69" s="44"/>
      <c r="U69" s="44"/>
      <c r="V69" s="42"/>
      <c r="W69" s="44"/>
      <c r="X69" s="44"/>
      <c r="Y69" s="42"/>
      <c r="Z69" s="44"/>
      <c r="AA69" s="44"/>
      <c r="AB69" s="42"/>
      <c r="AC69" s="44"/>
      <c r="AD69" s="45"/>
      <c r="AE69" s="45"/>
      <c r="AF69" s="45"/>
      <c r="AG69" s="42"/>
      <c r="AH69" s="42"/>
      <c r="AI69" s="42"/>
      <c r="AJ69" s="57"/>
      <c r="AK69" s="42"/>
      <c r="AL69" s="2"/>
      <c r="AM69" s="2"/>
      <c r="AN69" s="2"/>
      <c r="AO69" s="2"/>
      <c r="AP69" s="2"/>
      <c r="AQ69" s="2"/>
    </row>
    <row r="70" spans="1:43" x14ac:dyDescent="0.3">
      <c r="A70" s="3"/>
      <c r="B70" s="2"/>
      <c r="C70" s="19"/>
      <c r="D70" s="19"/>
      <c r="E70" s="19"/>
      <c r="F70" s="19"/>
      <c r="G70" s="19"/>
      <c r="H70" s="19"/>
      <c r="I70" s="19"/>
      <c r="J70" s="19"/>
      <c r="K70" s="44"/>
      <c r="L70" s="44"/>
      <c r="M70" s="44"/>
      <c r="N70" s="44"/>
      <c r="O70" s="46"/>
      <c r="P70" s="46"/>
      <c r="Q70" s="42"/>
      <c r="R70" s="47"/>
      <c r="S70" s="44"/>
      <c r="T70" s="44"/>
      <c r="U70" s="44"/>
      <c r="V70" s="42"/>
      <c r="W70" s="44"/>
      <c r="X70" s="44"/>
      <c r="Y70" s="42"/>
      <c r="Z70" s="44"/>
      <c r="AA70" s="44"/>
      <c r="AB70" s="42"/>
      <c r="AC70" s="44"/>
      <c r="AD70" s="45"/>
      <c r="AE70" s="45"/>
      <c r="AF70" s="45"/>
      <c r="AG70" s="42"/>
      <c r="AH70" s="42"/>
      <c r="AI70" s="42"/>
      <c r="AJ70" s="57"/>
      <c r="AK70" s="42"/>
      <c r="AL70" s="2"/>
      <c r="AM70" s="2"/>
      <c r="AN70" s="2"/>
      <c r="AO70" s="2"/>
      <c r="AP70" s="2"/>
      <c r="AQ70" s="2"/>
    </row>
    <row r="71" spans="1:43" x14ac:dyDescent="0.3">
      <c r="A71" s="3"/>
      <c r="B71" s="2"/>
      <c r="C71" s="19"/>
      <c r="D71" s="19"/>
      <c r="E71" s="19"/>
      <c r="F71" s="19"/>
      <c r="G71" s="19"/>
      <c r="H71" s="19"/>
      <c r="I71" s="19"/>
      <c r="J71" s="19"/>
      <c r="K71" s="44"/>
      <c r="L71" s="44"/>
      <c r="M71" s="44"/>
      <c r="N71" s="44"/>
      <c r="O71" s="46"/>
      <c r="P71" s="46"/>
      <c r="Q71" s="42"/>
      <c r="R71" s="47"/>
      <c r="S71" s="44"/>
      <c r="T71" s="44"/>
      <c r="U71" s="44"/>
      <c r="V71" s="42"/>
      <c r="W71" s="44"/>
      <c r="X71" s="44"/>
      <c r="Y71" s="42"/>
      <c r="Z71" s="44"/>
      <c r="AA71" s="44"/>
      <c r="AB71" s="42"/>
      <c r="AC71" s="44"/>
      <c r="AD71" s="45"/>
      <c r="AE71" s="45"/>
      <c r="AF71" s="45"/>
      <c r="AG71" s="42"/>
      <c r="AH71" s="42"/>
      <c r="AI71" s="42"/>
      <c r="AJ71" s="57"/>
      <c r="AK71" s="42"/>
      <c r="AL71" s="2"/>
      <c r="AM71" s="2"/>
      <c r="AN71" s="2"/>
      <c r="AO71" s="2"/>
      <c r="AP71" s="2"/>
      <c r="AQ71" s="2"/>
    </row>
    <row r="72" spans="1:43" x14ac:dyDescent="0.3">
      <c r="A72" s="3"/>
      <c r="B72" s="2"/>
      <c r="C72" s="19"/>
      <c r="D72" s="19"/>
      <c r="E72" s="19"/>
      <c r="F72" s="19"/>
      <c r="G72" s="19"/>
      <c r="H72" s="19"/>
      <c r="I72" s="19"/>
      <c r="J72" s="19"/>
      <c r="K72" s="44"/>
      <c r="L72" s="44"/>
      <c r="M72" s="44"/>
      <c r="N72" s="44"/>
      <c r="O72" s="46"/>
      <c r="P72" s="46"/>
      <c r="Q72" s="42"/>
      <c r="R72" s="47"/>
      <c r="S72" s="44"/>
      <c r="T72" s="44"/>
      <c r="U72" s="44"/>
      <c r="V72" s="42"/>
      <c r="W72" s="44"/>
      <c r="X72" s="44"/>
      <c r="Y72" s="42"/>
      <c r="Z72" s="44"/>
      <c r="AA72" s="44"/>
      <c r="AB72" s="42"/>
      <c r="AC72" s="44"/>
      <c r="AD72" s="45"/>
      <c r="AE72" s="45"/>
      <c r="AF72" s="45"/>
      <c r="AG72" s="42"/>
      <c r="AH72" s="42"/>
      <c r="AI72" s="42"/>
      <c r="AJ72" s="57"/>
      <c r="AK72" s="42"/>
      <c r="AL72" s="2"/>
      <c r="AM72" s="2"/>
      <c r="AN72" s="2"/>
      <c r="AO72" s="2"/>
      <c r="AP72" s="2"/>
      <c r="AQ72" s="2"/>
    </row>
    <row r="73" spans="1:43" x14ac:dyDescent="0.3">
      <c r="A73" s="3"/>
      <c r="B73" s="2"/>
      <c r="C73" s="19"/>
      <c r="D73" s="19"/>
      <c r="E73" s="19"/>
      <c r="F73" s="19"/>
      <c r="G73" s="19"/>
      <c r="H73" s="19"/>
      <c r="I73" s="19"/>
      <c r="J73" s="19"/>
      <c r="K73" s="44"/>
      <c r="L73" s="44"/>
      <c r="M73" s="44"/>
      <c r="N73" s="44"/>
      <c r="O73" s="46"/>
      <c r="P73" s="46"/>
      <c r="Q73" s="42"/>
      <c r="R73" s="47"/>
      <c r="S73" s="44"/>
      <c r="T73" s="44"/>
      <c r="U73" s="44"/>
      <c r="V73" s="42"/>
      <c r="W73" s="44"/>
      <c r="X73" s="44"/>
      <c r="Y73" s="42"/>
      <c r="Z73" s="44"/>
      <c r="AA73" s="44"/>
      <c r="AB73" s="42"/>
      <c r="AC73" s="44"/>
      <c r="AD73" s="45"/>
      <c r="AE73" s="45"/>
      <c r="AF73" s="45"/>
      <c r="AG73" s="42"/>
      <c r="AH73" s="42"/>
      <c r="AI73" s="42"/>
      <c r="AJ73" s="57"/>
      <c r="AK73" s="42"/>
      <c r="AL73" s="2"/>
      <c r="AM73" s="2"/>
      <c r="AN73" s="2"/>
      <c r="AO73" s="2"/>
      <c r="AP73" s="2"/>
      <c r="AQ73" s="2"/>
    </row>
    <row r="74" spans="1:43" x14ac:dyDescent="0.3">
      <c r="A74" s="3"/>
      <c r="B74" s="2"/>
      <c r="C74" s="19"/>
      <c r="D74" s="19"/>
      <c r="E74" s="19"/>
      <c r="F74" s="19"/>
      <c r="G74" s="19"/>
      <c r="H74" s="19"/>
      <c r="I74" s="19"/>
      <c r="J74" s="19"/>
      <c r="K74" s="44"/>
      <c r="L74" s="44"/>
      <c r="M74" s="44"/>
      <c r="N74" s="44"/>
      <c r="O74" s="46"/>
      <c r="P74" s="46"/>
      <c r="Q74" s="42"/>
      <c r="R74" s="47"/>
      <c r="S74" s="44"/>
      <c r="T74" s="44"/>
      <c r="U74" s="44"/>
      <c r="V74" s="42"/>
      <c r="W74" s="44"/>
      <c r="X74" s="44"/>
      <c r="Y74" s="42"/>
      <c r="Z74" s="44"/>
      <c r="AA74" s="44"/>
      <c r="AB74" s="42"/>
      <c r="AC74" s="44"/>
      <c r="AD74" s="45"/>
      <c r="AE74" s="45"/>
      <c r="AF74" s="45"/>
      <c r="AG74" s="42"/>
      <c r="AH74" s="42"/>
      <c r="AI74" s="42"/>
      <c r="AJ74" s="57"/>
      <c r="AK74" s="42"/>
      <c r="AL74" s="2"/>
      <c r="AM74" s="2"/>
      <c r="AN74" s="2"/>
      <c r="AO74" s="2"/>
      <c r="AP74" s="2"/>
      <c r="AQ74" s="2"/>
    </row>
    <row r="75" spans="1:43" x14ac:dyDescent="0.3">
      <c r="A75" s="3"/>
      <c r="B75" s="2"/>
      <c r="C75" s="19"/>
      <c r="D75" s="19"/>
      <c r="E75" s="19"/>
      <c r="F75" s="19"/>
      <c r="G75" s="19"/>
      <c r="H75" s="19"/>
      <c r="I75" s="19"/>
      <c r="J75" s="19"/>
      <c r="K75" s="44"/>
      <c r="L75" s="44"/>
      <c r="M75" s="44"/>
      <c r="N75" s="44"/>
      <c r="O75" s="46"/>
      <c r="P75" s="46"/>
      <c r="Q75" s="42"/>
      <c r="R75" s="47"/>
      <c r="S75" s="44"/>
      <c r="T75" s="44"/>
      <c r="U75" s="44"/>
      <c r="V75" s="42"/>
      <c r="W75" s="44"/>
      <c r="X75" s="44"/>
      <c r="Y75" s="42"/>
      <c r="Z75" s="44"/>
      <c r="AA75" s="44"/>
      <c r="AB75" s="42"/>
      <c r="AC75" s="44"/>
      <c r="AD75" s="45"/>
      <c r="AE75" s="45"/>
      <c r="AF75" s="45"/>
      <c r="AG75" s="42"/>
      <c r="AH75" s="42"/>
      <c r="AI75" s="42"/>
      <c r="AJ75" s="57"/>
      <c r="AK75" s="42"/>
      <c r="AL75" s="2"/>
      <c r="AM75" s="2"/>
      <c r="AN75" s="2"/>
      <c r="AO75" s="2"/>
      <c r="AP75" s="2"/>
      <c r="AQ75" s="2"/>
    </row>
    <row r="76" spans="1:43" x14ac:dyDescent="0.3">
      <c r="A76" s="3"/>
      <c r="B76" s="2"/>
      <c r="C76" s="19"/>
      <c r="D76" s="19"/>
      <c r="E76" s="19"/>
      <c r="F76" s="19"/>
      <c r="G76" s="19"/>
      <c r="H76" s="19"/>
      <c r="I76" s="19"/>
      <c r="J76" s="19"/>
      <c r="K76" s="44"/>
      <c r="L76" s="44"/>
      <c r="M76" s="44"/>
      <c r="N76" s="44"/>
      <c r="O76" s="46"/>
      <c r="P76" s="46"/>
      <c r="Q76" s="42"/>
      <c r="R76" s="47"/>
      <c r="S76" s="44"/>
      <c r="T76" s="44"/>
      <c r="U76" s="44"/>
      <c r="V76" s="42"/>
      <c r="W76" s="44"/>
      <c r="X76" s="44"/>
      <c r="Y76" s="42"/>
      <c r="Z76" s="44"/>
      <c r="AA76" s="44"/>
      <c r="AB76" s="42"/>
      <c r="AC76" s="44"/>
      <c r="AD76" s="45"/>
      <c r="AE76" s="45"/>
      <c r="AF76" s="45"/>
      <c r="AG76" s="42"/>
      <c r="AH76" s="42"/>
      <c r="AI76" s="42"/>
      <c r="AJ76" s="57"/>
      <c r="AK76" s="42"/>
      <c r="AL76" s="2"/>
      <c r="AM76" s="2"/>
      <c r="AN76" s="2"/>
      <c r="AO76" s="2"/>
      <c r="AP76" s="2"/>
      <c r="AQ76" s="2"/>
    </row>
    <row r="77" spans="1:43" x14ac:dyDescent="0.3">
      <c r="A77" s="3"/>
      <c r="B77" s="2"/>
      <c r="C77" s="19"/>
      <c r="D77" s="19"/>
      <c r="E77" s="19"/>
      <c r="F77" s="19"/>
      <c r="G77" s="19"/>
      <c r="H77" s="19"/>
      <c r="I77" s="19"/>
      <c r="J77" s="19"/>
      <c r="K77" s="44"/>
      <c r="L77" s="44"/>
      <c r="M77" s="44"/>
      <c r="N77" s="44"/>
      <c r="O77" s="46"/>
      <c r="P77" s="46"/>
      <c r="Q77" s="42"/>
      <c r="R77" s="47"/>
      <c r="S77" s="44"/>
      <c r="T77" s="44"/>
      <c r="U77" s="44"/>
      <c r="V77" s="42"/>
      <c r="W77" s="44"/>
      <c r="X77" s="44"/>
      <c r="Y77" s="42"/>
      <c r="Z77" s="44"/>
      <c r="AA77" s="44"/>
      <c r="AB77" s="42"/>
      <c r="AC77" s="44"/>
      <c r="AD77" s="45"/>
      <c r="AE77" s="45"/>
      <c r="AF77" s="45"/>
      <c r="AG77" s="42"/>
      <c r="AH77" s="42"/>
      <c r="AI77" s="42"/>
      <c r="AJ77" s="57"/>
      <c r="AK77" s="42"/>
      <c r="AL77" s="2"/>
      <c r="AM77" s="2"/>
      <c r="AN77" s="2"/>
      <c r="AO77" s="2"/>
      <c r="AP77" s="2"/>
      <c r="AQ77" s="2"/>
    </row>
    <row r="78" spans="1:43" x14ac:dyDescent="0.3">
      <c r="A78" s="3"/>
      <c r="B78" s="2"/>
      <c r="C78" s="19"/>
      <c r="D78" s="19"/>
      <c r="E78" s="19"/>
      <c r="F78" s="19"/>
      <c r="G78" s="19"/>
      <c r="H78" s="19"/>
      <c r="I78" s="19"/>
      <c r="J78" s="19"/>
      <c r="K78" s="44"/>
      <c r="L78" s="44"/>
      <c r="M78" s="44"/>
      <c r="N78" s="44"/>
      <c r="O78" s="46"/>
      <c r="P78" s="46"/>
      <c r="Q78" s="42"/>
      <c r="R78" s="47"/>
      <c r="S78" s="44"/>
      <c r="T78" s="44"/>
      <c r="U78" s="44"/>
      <c r="V78" s="42"/>
      <c r="W78" s="44"/>
      <c r="X78" s="44"/>
      <c r="Y78" s="42"/>
      <c r="Z78" s="44"/>
      <c r="AA78" s="44"/>
      <c r="AB78" s="42"/>
      <c r="AC78" s="44"/>
      <c r="AD78" s="45"/>
      <c r="AE78" s="45"/>
      <c r="AF78" s="45"/>
      <c r="AG78" s="42"/>
      <c r="AH78" s="42"/>
      <c r="AI78" s="42"/>
      <c r="AJ78" s="57"/>
      <c r="AK78" s="42"/>
      <c r="AL78" s="2"/>
      <c r="AM78" s="2"/>
      <c r="AN78" s="2"/>
      <c r="AO78" s="2"/>
      <c r="AP78" s="2"/>
      <c r="AQ78" s="2"/>
    </row>
    <row r="79" spans="1:43" x14ac:dyDescent="0.3">
      <c r="A79" s="3"/>
      <c r="B79" s="2"/>
      <c r="C79" s="19"/>
      <c r="D79" s="19"/>
      <c r="E79" s="19"/>
      <c r="F79" s="19"/>
      <c r="G79" s="19"/>
      <c r="H79" s="19"/>
      <c r="I79" s="19"/>
      <c r="J79" s="19"/>
      <c r="K79" s="44"/>
      <c r="L79" s="44"/>
      <c r="M79" s="44"/>
      <c r="N79" s="44"/>
      <c r="O79" s="46"/>
      <c r="P79" s="46"/>
      <c r="Q79" s="42"/>
      <c r="R79" s="47"/>
      <c r="S79" s="44"/>
      <c r="T79" s="44"/>
      <c r="U79" s="44"/>
      <c r="V79" s="42"/>
      <c r="W79" s="44"/>
      <c r="X79" s="44"/>
      <c r="Y79" s="42"/>
      <c r="Z79" s="44"/>
      <c r="AA79" s="44"/>
      <c r="AB79" s="42"/>
      <c r="AC79" s="44"/>
      <c r="AD79" s="45"/>
      <c r="AE79" s="45"/>
      <c r="AF79" s="45"/>
      <c r="AG79" s="42"/>
      <c r="AH79" s="42"/>
      <c r="AI79" s="42"/>
      <c r="AJ79" s="57"/>
      <c r="AK79" s="42"/>
      <c r="AL79" s="2"/>
      <c r="AM79" s="2"/>
      <c r="AN79" s="2"/>
      <c r="AO79" s="2"/>
      <c r="AP79" s="2"/>
      <c r="AQ79" s="2"/>
    </row>
    <row r="80" spans="1:43" x14ac:dyDescent="0.3">
      <c r="A80" s="3"/>
      <c r="B80" s="2"/>
      <c r="C80" s="19"/>
      <c r="D80" s="19"/>
      <c r="E80" s="19"/>
      <c r="F80" s="19"/>
      <c r="G80" s="19"/>
      <c r="H80" s="19"/>
      <c r="I80" s="19"/>
      <c r="J80" s="19"/>
      <c r="K80" s="44"/>
      <c r="L80" s="44"/>
      <c r="M80" s="44"/>
      <c r="N80" s="44"/>
      <c r="O80" s="46"/>
      <c r="P80" s="46"/>
      <c r="Q80" s="42"/>
      <c r="R80" s="47"/>
      <c r="S80" s="44"/>
      <c r="T80" s="44"/>
      <c r="U80" s="44"/>
      <c r="V80" s="42"/>
      <c r="W80" s="44"/>
      <c r="X80" s="44"/>
      <c r="Y80" s="42"/>
      <c r="Z80" s="44"/>
      <c r="AA80" s="44"/>
      <c r="AB80" s="42"/>
      <c r="AC80" s="44"/>
      <c r="AD80" s="45"/>
      <c r="AE80" s="45"/>
      <c r="AF80" s="45"/>
      <c r="AG80" s="42"/>
      <c r="AH80" s="42"/>
      <c r="AI80" s="42"/>
      <c r="AJ80" s="57"/>
      <c r="AK80" s="42"/>
      <c r="AL80" s="2"/>
      <c r="AM80" s="2"/>
      <c r="AN80" s="2"/>
      <c r="AO80" s="2"/>
      <c r="AP80" s="2"/>
      <c r="AQ80" s="2"/>
    </row>
    <row r="81" spans="1:43" x14ac:dyDescent="0.3">
      <c r="A81" s="3"/>
      <c r="B81" s="2"/>
      <c r="C81" s="19"/>
      <c r="D81" s="19"/>
      <c r="E81" s="19"/>
      <c r="F81" s="19"/>
      <c r="G81" s="19"/>
      <c r="H81" s="19"/>
      <c r="I81" s="19"/>
      <c r="J81" s="19"/>
      <c r="K81" s="44"/>
      <c r="L81" s="44"/>
      <c r="M81" s="44"/>
      <c r="N81" s="44"/>
      <c r="O81" s="46"/>
      <c r="P81" s="46"/>
      <c r="Q81" s="42"/>
      <c r="R81" s="47"/>
      <c r="S81" s="44"/>
      <c r="T81" s="44"/>
      <c r="U81" s="44"/>
      <c r="V81" s="42"/>
      <c r="W81" s="44"/>
      <c r="X81" s="44"/>
      <c r="Y81" s="42"/>
      <c r="Z81" s="44"/>
      <c r="AA81" s="44"/>
      <c r="AB81" s="42"/>
      <c r="AC81" s="44"/>
      <c r="AD81" s="45"/>
      <c r="AE81" s="45"/>
      <c r="AF81" s="45"/>
      <c r="AG81" s="42"/>
      <c r="AH81" s="42"/>
      <c r="AI81" s="42"/>
      <c r="AJ81" s="57"/>
      <c r="AK81" s="42"/>
      <c r="AL81" s="2"/>
      <c r="AM81" s="2"/>
      <c r="AN81" s="2"/>
      <c r="AO81" s="2"/>
      <c r="AP81" s="2"/>
      <c r="AQ81" s="2"/>
    </row>
    <row r="82" spans="1:43" x14ac:dyDescent="0.3">
      <c r="A82" s="3"/>
      <c r="B82" s="2"/>
      <c r="C82" s="19"/>
      <c r="D82" s="19"/>
      <c r="E82" s="19"/>
      <c r="F82" s="19"/>
      <c r="G82" s="19"/>
      <c r="H82" s="19"/>
      <c r="I82" s="19"/>
      <c r="J82" s="19"/>
      <c r="K82" s="44"/>
      <c r="L82" s="44"/>
      <c r="M82" s="44"/>
      <c r="N82" s="44"/>
      <c r="O82" s="46"/>
      <c r="P82" s="46"/>
      <c r="Q82" s="42"/>
      <c r="R82" s="47"/>
      <c r="S82" s="44"/>
      <c r="T82" s="44"/>
      <c r="U82" s="44"/>
      <c r="V82" s="42"/>
      <c r="W82" s="44"/>
      <c r="X82" s="44"/>
      <c r="Y82" s="42"/>
      <c r="Z82" s="44"/>
      <c r="AA82" s="44"/>
      <c r="AB82" s="42"/>
      <c r="AC82" s="44"/>
      <c r="AD82" s="45"/>
      <c r="AE82" s="45"/>
      <c r="AF82" s="45"/>
      <c r="AG82" s="42"/>
      <c r="AH82" s="42"/>
      <c r="AI82" s="42"/>
      <c r="AJ82" s="57"/>
      <c r="AK82" s="42"/>
      <c r="AL82" s="2"/>
      <c r="AM82" s="2"/>
      <c r="AN82" s="2"/>
      <c r="AO82" s="2"/>
      <c r="AP82" s="2"/>
      <c r="AQ82" s="2"/>
    </row>
    <row r="83" spans="1:43" x14ac:dyDescent="0.3">
      <c r="A83" s="3"/>
      <c r="B83" s="2"/>
      <c r="C83" s="19"/>
      <c r="D83" s="19"/>
      <c r="E83" s="19"/>
      <c r="F83" s="19"/>
      <c r="G83" s="19"/>
      <c r="H83" s="19"/>
      <c r="I83" s="19"/>
      <c r="J83" s="19"/>
      <c r="K83" s="44"/>
      <c r="L83" s="44"/>
      <c r="M83" s="44"/>
      <c r="N83" s="44"/>
      <c r="O83" s="46"/>
      <c r="P83" s="46"/>
      <c r="Q83" s="42"/>
      <c r="R83" s="47"/>
      <c r="S83" s="44"/>
      <c r="T83" s="44"/>
      <c r="U83" s="44"/>
      <c r="V83" s="42"/>
      <c r="W83" s="44"/>
      <c r="X83" s="44"/>
      <c r="Y83" s="42"/>
      <c r="Z83" s="44"/>
      <c r="AA83" s="44"/>
      <c r="AB83" s="42"/>
      <c r="AC83" s="44"/>
      <c r="AD83" s="45"/>
      <c r="AE83" s="45"/>
      <c r="AF83" s="45"/>
      <c r="AG83" s="42"/>
      <c r="AH83" s="42"/>
      <c r="AI83" s="42"/>
      <c r="AJ83" s="57"/>
      <c r="AK83" s="42"/>
      <c r="AL83" s="2"/>
      <c r="AM83" s="2"/>
      <c r="AN83" s="2"/>
      <c r="AO83" s="2"/>
      <c r="AP83" s="2"/>
      <c r="AQ83" s="2"/>
    </row>
    <row r="84" spans="1:43" x14ac:dyDescent="0.3">
      <c r="A84" s="3"/>
      <c r="B84" s="2"/>
      <c r="C84" s="19"/>
      <c r="D84" s="19"/>
      <c r="E84" s="19"/>
      <c r="F84" s="19"/>
      <c r="G84" s="19"/>
      <c r="H84" s="19"/>
      <c r="I84" s="19"/>
      <c r="J84" s="19"/>
      <c r="K84" s="44"/>
      <c r="L84" s="44"/>
      <c r="M84" s="44"/>
      <c r="N84" s="44"/>
      <c r="O84" s="46"/>
      <c r="P84" s="46"/>
      <c r="Q84" s="42"/>
      <c r="R84" s="47"/>
      <c r="S84" s="44"/>
      <c r="T84" s="44"/>
      <c r="U84" s="44"/>
      <c r="V84" s="42"/>
      <c r="W84" s="44"/>
      <c r="X84" s="44"/>
      <c r="Y84" s="42"/>
      <c r="Z84" s="44"/>
      <c r="AA84" s="44"/>
      <c r="AB84" s="42"/>
      <c r="AC84" s="44"/>
      <c r="AD84" s="45"/>
      <c r="AE84" s="45"/>
      <c r="AF84" s="45"/>
      <c r="AG84" s="42"/>
      <c r="AH84" s="42"/>
      <c r="AI84" s="42"/>
      <c r="AJ84" s="57"/>
      <c r="AK84" s="42"/>
      <c r="AL84" s="2"/>
      <c r="AM84" s="2"/>
      <c r="AN84" s="2"/>
      <c r="AO84" s="2"/>
      <c r="AP84" s="2"/>
      <c r="AQ84" s="2"/>
    </row>
    <row r="85" spans="1:43" x14ac:dyDescent="0.3">
      <c r="A85" s="3"/>
      <c r="B85" s="2"/>
      <c r="C85" s="19"/>
      <c r="D85" s="19"/>
      <c r="E85" s="19"/>
      <c r="F85" s="19"/>
      <c r="G85" s="19"/>
      <c r="H85" s="19"/>
      <c r="I85" s="19"/>
      <c r="J85" s="19"/>
      <c r="K85" s="44"/>
      <c r="L85" s="44"/>
      <c r="M85" s="44"/>
      <c r="N85" s="44"/>
      <c r="O85" s="46"/>
      <c r="P85" s="46"/>
      <c r="Q85" s="42"/>
      <c r="R85" s="47"/>
      <c r="S85" s="44"/>
      <c r="T85" s="44"/>
      <c r="U85" s="44"/>
      <c r="V85" s="42"/>
      <c r="W85" s="44"/>
      <c r="X85" s="44"/>
      <c r="Y85" s="42"/>
      <c r="Z85" s="44"/>
      <c r="AA85" s="44"/>
      <c r="AB85" s="42"/>
      <c r="AC85" s="44"/>
      <c r="AD85" s="45"/>
      <c r="AE85" s="45"/>
      <c r="AF85" s="45"/>
      <c r="AG85" s="42"/>
      <c r="AH85" s="42"/>
      <c r="AI85" s="42"/>
      <c r="AJ85" s="57"/>
      <c r="AK85" s="42"/>
      <c r="AL85" s="2"/>
      <c r="AM85" s="2"/>
      <c r="AN85" s="2"/>
      <c r="AO85" s="2"/>
      <c r="AP85" s="2"/>
      <c r="AQ85" s="2"/>
    </row>
    <row r="86" spans="1:43" x14ac:dyDescent="0.3">
      <c r="A86" s="3"/>
      <c r="B86" s="2"/>
      <c r="C86" s="19"/>
      <c r="D86" s="19"/>
      <c r="E86" s="19"/>
      <c r="F86" s="19"/>
      <c r="G86" s="19"/>
      <c r="H86" s="19"/>
      <c r="I86" s="19"/>
      <c r="J86" s="19"/>
      <c r="K86" s="44"/>
      <c r="L86" s="44"/>
      <c r="M86" s="44"/>
      <c r="N86" s="44"/>
      <c r="O86" s="46"/>
      <c r="P86" s="46"/>
      <c r="Q86" s="42"/>
      <c r="R86" s="47"/>
      <c r="S86" s="44"/>
      <c r="T86" s="44"/>
      <c r="U86" s="44"/>
      <c r="V86" s="42"/>
      <c r="W86" s="44"/>
      <c r="X86" s="44"/>
      <c r="Y86" s="42"/>
      <c r="Z86" s="44"/>
      <c r="AA86" s="44"/>
      <c r="AB86" s="42"/>
      <c r="AC86" s="44"/>
      <c r="AD86" s="45"/>
      <c r="AE86" s="45"/>
      <c r="AF86" s="45"/>
      <c r="AG86" s="42"/>
      <c r="AH86" s="42"/>
      <c r="AI86" s="42"/>
      <c r="AJ86" s="57"/>
      <c r="AK86" s="42"/>
      <c r="AL86" s="2"/>
      <c r="AM86" s="2"/>
      <c r="AN86" s="2"/>
      <c r="AO86" s="2"/>
      <c r="AP86" s="2"/>
      <c r="AQ86" s="2"/>
    </row>
    <row r="87" spans="1:43" x14ac:dyDescent="0.3">
      <c r="A87" s="3"/>
      <c r="B87" s="2"/>
      <c r="C87" s="19"/>
      <c r="D87" s="19"/>
      <c r="E87" s="19"/>
      <c r="F87" s="19"/>
      <c r="G87" s="19"/>
      <c r="H87" s="19"/>
      <c r="I87" s="19"/>
      <c r="J87" s="19"/>
      <c r="K87" s="44"/>
      <c r="L87" s="44"/>
      <c r="M87" s="44"/>
      <c r="N87" s="44"/>
      <c r="O87" s="46"/>
      <c r="P87" s="46"/>
      <c r="Q87" s="42"/>
      <c r="R87" s="47"/>
      <c r="S87" s="44"/>
      <c r="T87" s="44"/>
      <c r="U87" s="44"/>
      <c r="V87" s="42"/>
      <c r="W87" s="44"/>
      <c r="X87" s="44"/>
      <c r="Y87" s="42"/>
      <c r="Z87" s="44"/>
      <c r="AA87" s="44"/>
      <c r="AB87" s="42"/>
      <c r="AC87" s="44"/>
      <c r="AD87" s="45"/>
      <c r="AE87" s="45"/>
      <c r="AF87" s="45"/>
      <c r="AG87" s="42"/>
      <c r="AH87" s="42"/>
      <c r="AI87" s="42"/>
      <c r="AJ87" s="57"/>
      <c r="AK87" s="42"/>
      <c r="AL87" s="2"/>
      <c r="AM87" s="2"/>
      <c r="AN87" s="2"/>
      <c r="AO87" s="2"/>
      <c r="AP87" s="2"/>
      <c r="AQ87" s="2"/>
    </row>
    <row r="88" spans="1:43" x14ac:dyDescent="0.3">
      <c r="A88" s="3"/>
      <c r="B88" s="2"/>
      <c r="C88" s="19"/>
      <c r="D88" s="19"/>
      <c r="E88" s="19"/>
      <c r="F88" s="19"/>
      <c r="G88" s="19"/>
      <c r="H88" s="19"/>
      <c r="I88" s="19"/>
      <c r="J88" s="19"/>
      <c r="K88" s="44"/>
      <c r="L88" s="44"/>
      <c r="M88" s="44"/>
      <c r="N88" s="44"/>
      <c r="O88" s="46"/>
      <c r="P88" s="46"/>
      <c r="Q88" s="42"/>
      <c r="R88" s="47"/>
      <c r="S88" s="44"/>
      <c r="T88" s="44"/>
      <c r="U88" s="44"/>
      <c r="V88" s="42"/>
      <c r="W88" s="44"/>
      <c r="X88" s="44"/>
      <c r="Y88" s="42"/>
      <c r="Z88" s="44"/>
      <c r="AA88" s="44"/>
      <c r="AB88" s="42"/>
      <c r="AC88" s="44"/>
      <c r="AD88" s="45"/>
      <c r="AE88" s="45"/>
      <c r="AF88" s="45"/>
      <c r="AG88" s="42"/>
      <c r="AH88" s="42"/>
      <c r="AI88" s="42"/>
      <c r="AJ88" s="57"/>
      <c r="AK88" s="42"/>
      <c r="AL88" s="2"/>
      <c r="AM88" s="2"/>
      <c r="AN88" s="2"/>
      <c r="AO88" s="2"/>
      <c r="AP88" s="2"/>
      <c r="AQ88" s="2"/>
    </row>
    <row r="89" spans="1:43" x14ac:dyDescent="0.3">
      <c r="A89" s="3"/>
      <c r="B89" s="2"/>
      <c r="C89" s="19"/>
      <c r="D89" s="19"/>
      <c r="E89" s="19"/>
      <c r="F89" s="19"/>
      <c r="G89" s="19"/>
      <c r="H89" s="19"/>
      <c r="I89" s="19"/>
      <c r="J89" s="19"/>
      <c r="K89" s="44"/>
      <c r="L89" s="44"/>
      <c r="M89" s="44"/>
      <c r="N89" s="44"/>
      <c r="O89" s="46"/>
      <c r="P89" s="46"/>
      <c r="Q89" s="42"/>
      <c r="R89" s="47"/>
      <c r="S89" s="44"/>
      <c r="T89" s="44"/>
      <c r="U89" s="44"/>
      <c r="V89" s="42"/>
      <c r="W89" s="44"/>
      <c r="X89" s="44"/>
      <c r="Y89" s="42"/>
      <c r="Z89" s="44"/>
      <c r="AA89" s="44"/>
      <c r="AB89" s="42"/>
      <c r="AC89" s="44"/>
      <c r="AD89" s="45"/>
      <c r="AE89" s="45"/>
      <c r="AF89" s="45"/>
      <c r="AG89" s="42"/>
      <c r="AH89" s="42"/>
      <c r="AI89" s="42"/>
      <c r="AJ89" s="57"/>
      <c r="AK89" s="42"/>
      <c r="AL89" s="2"/>
      <c r="AM89" s="2"/>
      <c r="AN89" s="2"/>
      <c r="AO89" s="2"/>
      <c r="AP89" s="2"/>
      <c r="AQ89" s="2"/>
    </row>
    <row r="90" spans="1:43" x14ac:dyDescent="0.3">
      <c r="A90" s="3"/>
      <c r="B90" s="2"/>
      <c r="C90" s="19"/>
      <c r="D90" s="19"/>
      <c r="E90" s="19"/>
      <c r="F90" s="19"/>
      <c r="G90" s="19"/>
      <c r="H90" s="19"/>
      <c r="I90" s="19"/>
      <c r="J90" s="19"/>
      <c r="K90" s="44"/>
      <c r="L90" s="44"/>
      <c r="M90" s="44"/>
      <c r="N90" s="44"/>
      <c r="O90" s="46"/>
      <c r="P90" s="46"/>
      <c r="Q90" s="42"/>
      <c r="R90" s="47"/>
      <c r="S90" s="44"/>
      <c r="T90" s="44"/>
      <c r="U90" s="44"/>
      <c r="V90" s="42"/>
      <c r="W90" s="44"/>
      <c r="X90" s="44"/>
      <c r="Y90" s="42"/>
      <c r="Z90" s="44"/>
      <c r="AA90" s="44"/>
      <c r="AB90" s="42"/>
      <c r="AC90" s="44"/>
      <c r="AD90" s="45"/>
      <c r="AE90" s="45"/>
      <c r="AF90" s="45"/>
      <c r="AG90" s="42"/>
      <c r="AH90" s="42"/>
      <c r="AI90" s="42"/>
      <c r="AJ90" s="57"/>
      <c r="AK90" s="42"/>
      <c r="AL90" s="2"/>
      <c r="AM90" s="2"/>
      <c r="AN90" s="2"/>
      <c r="AO90" s="2"/>
      <c r="AP90" s="2"/>
      <c r="AQ90" s="2"/>
    </row>
    <row r="91" spans="1:43" x14ac:dyDescent="0.3">
      <c r="A91" s="3"/>
      <c r="B91" s="2"/>
      <c r="C91" s="19"/>
      <c r="D91" s="19"/>
      <c r="E91" s="19"/>
      <c r="F91" s="19"/>
      <c r="G91" s="19"/>
      <c r="H91" s="19"/>
      <c r="I91" s="19"/>
      <c r="J91" s="19"/>
      <c r="K91" s="44"/>
      <c r="L91" s="44"/>
      <c r="M91" s="44"/>
      <c r="N91" s="44"/>
      <c r="O91" s="46"/>
      <c r="P91" s="46"/>
      <c r="Q91" s="42"/>
      <c r="R91" s="47"/>
      <c r="S91" s="44"/>
      <c r="T91" s="44"/>
      <c r="U91" s="44"/>
      <c r="V91" s="42"/>
      <c r="W91" s="44"/>
      <c r="X91" s="44"/>
      <c r="Y91" s="42"/>
      <c r="Z91" s="44"/>
      <c r="AA91" s="44"/>
      <c r="AB91" s="42"/>
      <c r="AC91" s="44"/>
      <c r="AD91" s="45"/>
      <c r="AE91" s="45"/>
      <c r="AF91" s="45"/>
      <c r="AG91" s="42"/>
      <c r="AH91" s="42"/>
      <c r="AI91" s="42"/>
      <c r="AJ91" s="57"/>
      <c r="AK91" s="42"/>
      <c r="AL91" s="2"/>
      <c r="AM91" s="2"/>
      <c r="AN91" s="2"/>
      <c r="AO91" s="2"/>
      <c r="AP91" s="2"/>
      <c r="AQ91" s="2"/>
    </row>
    <row r="92" spans="1:43" x14ac:dyDescent="0.3">
      <c r="A92" s="3"/>
      <c r="B92" s="2"/>
      <c r="C92" s="19"/>
      <c r="D92" s="19"/>
      <c r="E92" s="19"/>
      <c r="F92" s="19"/>
      <c r="G92" s="19"/>
      <c r="H92" s="19"/>
      <c r="I92" s="19"/>
      <c r="J92" s="19"/>
      <c r="K92" s="44"/>
      <c r="L92" s="44"/>
      <c r="M92" s="44"/>
      <c r="N92" s="44"/>
      <c r="O92" s="46"/>
      <c r="P92" s="46"/>
      <c r="Q92" s="42"/>
      <c r="R92" s="47"/>
      <c r="S92" s="44"/>
      <c r="T92" s="44"/>
      <c r="U92" s="44"/>
      <c r="V92" s="42"/>
      <c r="W92" s="44"/>
      <c r="X92" s="44"/>
      <c r="Y92" s="42"/>
      <c r="Z92" s="44"/>
      <c r="AA92" s="44"/>
      <c r="AB92" s="42"/>
      <c r="AC92" s="44"/>
      <c r="AD92" s="45"/>
      <c r="AE92" s="45"/>
      <c r="AF92" s="45"/>
      <c r="AG92" s="42"/>
      <c r="AH92" s="42"/>
      <c r="AI92" s="42"/>
      <c r="AJ92" s="57"/>
      <c r="AK92" s="42"/>
      <c r="AL92" s="2"/>
      <c r="AM92" s="2"/>
      <c r="AN92" s="2"/>
      <c r="AO92" s="2"/>
      <c r="AP92" s="2"/>
      <c r="AQ92" s="2"/>
    </row>
    <row r="93" spans="1:43" x14ac:dyDescent="0.3">
      <c r="A93" s="3"/>
      <c r="B93" s="2"/>
      <c r="C93" s="19"/>
      <c r="D93" s="19"/>
      <c r="E93" s="19"/>
      <c r="F93" s="19"/>
      <c r="G93" s="19"/>
      <c r="H93" s="19"/>
      <c r="I93" s="19"/>
      <c r="J93" s="19"/>
      <c r="K93" s="44"/>
      <c r="L93" s="44"/>
      <c r="M93" s="44"/>
      <c r="N93" s="44"/>
      <c r="O93" s="46"/>
      <c r="P93" s="46"/>
      <c r="Q93" s="42"/>
      <c r="R93" s="47"/>
      <c r="S93" s="44"/>
      <c r="T93" s="44"/>
      <c r="U93" s="44"/>
      <c r="V93" s="42"/>
      <c r="W93" s="44"/>
      <c r="X93" s="44"/>
      <c r="Y93" s="42"/>
      <c r="Z93" s="44"/>
      <c r="AA93" s="44"/>
      <c r="AB93" s="42"/>
      <c r="AC93" s="44"/>
      <c r="AD93" s="45"/>
      <c r="AE93" s="45"/>
      <c r="AF93" s="45"/>
      <c r="AG93" s="42"/>
      <c r="AH93" s="42"/>
      <c r="AI93" s="42"/>
      <c r="AJ93" s="57"/>
      <c r="AK93" s="42"/>
      <c r="AL93" s="2"/>
      <c r="AM93" s="2"/>
      <c r="AN93" s="2"/>
      <c r="AO93" s="2"/>
      <c r="AP93" s="2"/>
      <c r="AQ93" s="2"/>
    </row>
    <row r="94" spans="1:43" x14ac:dyDescent="0.3">
      <c r="A94" s="3"/>
      <c r="B94" s="2"/>
      <c r="C94" s="19"/>
      <c r="D94" s="19"/>
      <c r="E94" s="19"/>
      <c r="F94" s="19"/>
      <c r="G94" s="19"/>
      <c r="H94" s="19"/>
      <c r="I94" s="19"/>
      <c r="J94" s="19"/>
      <c r="K94" s="44"/>
      <c r="L94" s="44"/>
      <c r="M94" s="44"/>
      <c r="N94" s="44"/>
      <c r="O94" s="46"/>
      <c r="P94" s="46"/>
      <c r="Q94" s="42"/>
      <c r="R94" s="47"/>
      <c r="S94" s="44"/>
      <c r="T94" s="44"/>
      <c r="U94" s="44"/>
      <c r="V94" s="42"/>
      <c r="W94" s="44"/>
      <c r="X94" s="44"/>
      <c r="Y94" s="42"/>
      <c r="Z94" s="44"/>
      <c r="AA94" s="44"/>
      <c r="AB94" s="42"/>
      <c r="AC94" s="44"/>
      <c r="AD94" s="45"/>
      <c r="AE94" s="45"/>
      <c r="AF94" s="45"/>
      <c r="AG94" s="42"/>
      <c r="AH94" s="42"/>
      <c r="AI94" s="42"/>
      <c r="AJ94" s="57"/>
      <c r="AK94" s="42"/>
      <c r="AL94" s="2"/>
      <c r="AM94" s="2"/>
      <c r="AN94" s="2"/>
      <c r="AO94" s="2"/>
      <c r="AP94" s="2"/>
      <c r="AQ94" s="2"/>
    </row>
    <row r="95" spans="1:43" x14ac:dyDescent="0.3">
      <c r="A95" s="3"/>
      <c r="B95" s="2"/>
      <c r="C95" s="19"/>
      <c r="D95" s="19"/>
      <c r="E95" s="19"/>
      <c r="F95" s="19"/>
      <c r="G95" s="19"/>
      <c r="H95" s="19"/>
      <c r="I95" s="19"/>
      <c r="J95" s="19"/>
      <c r="K95" s="44"/>
      <c r="L95" s="44"/>
      <c r="M95" s="44"/>
      <c r="N95" s="44"/>
      <c r="O95" s="46"/>
      <c r="P95" s="46"/>
      <c r="Q95" s="42"/>
      <c r="R95" s="47"/>
      <c r="S95" s="44"/>
      <c r="T95" s="44"/>
      <c r="U95" s="44"/>
      <c r="V95" s="42"/>
      <c r="W95" s="44"/>
      <c r="X95" s="44"/>
      <c r="Y95" s="42"/>
      <c r="Z95" s="44"/>
      <c r="AA95" s="44"/>
      <c r="AB95" s="42"/>
      <c r="AC95" s="44"/>
      <c r="AD95" s="45"/>
      <c r="AE95" s="45"/>
      <c r="AF95" s="45"/>
      <c r="AG95" s="42"/>
      <c r="AH95" s="42"/>
      <c r="AI95" s="42"/>
      <c r="AJ95" s="57"/>
      <c r="AK95" s="42"/>
      <c r="AL95" s="2"/>
      <c r="AM95" s="2"/>
      <c r="AN95" s="2"/>
      <c r="AO95" s="2"/>
      <c r="AP95" s="2"/>
      <c r="AQ95" s="2"/>
    </row>
    <row r="96" spans="1:43" x14ac:dyDescent="0.3">
      <c r="A96" s="3"/>
      <c r="B96" s="2"/>
      <c r="C96" s="19"/>
      <c r="D96" s="19"/>
      <c r="E96" s="19"/>
      <c r="F96" s="19"/>
      <c r="G96" s="19"/>
      <c r="H96" s="19"/>
      <c r="I96" s="19"/>
      <c r="J96" s="19"/>
      <c r="K96" s="44"/>
      <c r="L96" s="44"/>
      <c r="M96" s="44"/>
      <c r="N96" s="44"/>
      <c r="O96" s="46"/>
      <c r="P96" s="46"/>
      <c r="Q96" s="42"/>
      <c r="R96" s="47"/>
      <c r="S96" s="44"/>
      <c r="T96" s="44"/>
      <c r="U96" s="44"/>
      <c r="V96" s="42"/>
      <c r="W96" s="44"/>
      <c r="X96" s="44"/>
      <c r="Y96" s="42"/>
      <c r="Z96" s="44"/>
      <c r="AA96" s="44"/>
      <c r="AB96" s="42"/>
      <c r="AC96" s="44"/>
      <c r="AD96" s="45"/>
      <c r="AE96" s="45"/>
      <c r="AF96" s="45"/>
      <c r="AG96" s="42"/>
      <c r="AH96" s="42"/>
      <c r="AI96" s="42"/>
      <c r="AJ96" s="57"/>
      <c r="AK96" s="42"/>
      <c r="AL96" s="2"/>
      <c r="AM96" s="2"/>
      <c r="AN96" s="2"/>
      <c r="AO96" s="2"/>
      <c r="AP96" s="2"/>
      <c r="AQ96" s="2"/>
    </row>
    <row r="97" spans="1:43" x14ac:dyDescent="0.3">
      <c r="A97" s="3"/>
      <c r="B97" s="2"/>
      <c r="C97" s="19"/>
      <c r="D97" s="19"/>
      <c r="E97" s="19"/>
      <c r="F97" s="19"/>
      <c r="G97" s="19"/>
      <c r="H97" s="19"/>
      <c r="I97" s="19"/>
      <c r="J97" s="19"/>
      <c r="K97" s="44"/>
      <c r="L97" s="44"/>
      <c r="M97" s="44"/>
      <c r="N97" s="44"/>
      <c r="O97" s="46"/>
      <c r="P97" s="46"/>
      <c r="Q97" s="42"/>
      <c r="R97" s="47"/>
      <c r="S97" s="44"/>
      <c r="T97" s="44"/>
      <c r="U97" s="44"/>
      <c r="V97" s="42"/>
      <c r="W97" s="44"/>
      <c r="X97" s="44"/>
      <c r="Y97" s="42"/>
      <c r="Z97" s="44"/>
      <c r="AA97" s="44"/>
      <c r="AB97" s="42"/>
      <c r="AC97" s="44"/>
      <c r="AD97" s="45"/>
      <c r="AE97" s="45"/>
      <c r="AF97" s="45"/>
      <c r="AG97" s="42"/>
      <c r="AH97" s="42"/>
      <c r="AI97" s="42"/>
      <c r="AJ97" s="57"/>
      <c r="AK97" s="42"/>
      <c r="AL97" s="2"/>
      <c r="AM97" s="2"/>
      <c r="AN97" s="2"/>
      <c r="AO97" s="2"/>
      <c r="AP97" s="2"/>
      <c r="AQ97" s="2"/>
    </row>
    <row r="98" spans="1:43" x14ac:dyDescent="0.3">
      <c r="A98" s="3"/>
      <c r="B98" s="2"/>
      <c r="C98" s="19"/>
      <c r="D98" s="19"/>
      <c r="E98" s="19"/>
      <c r="F98" s="19"/>
      <c r="G98" s="19"/>
      <c r="H98" s="19"/>
      <c r="I98" s="19"/>
      <c r="J98" s="19"/>
      <c r="K98" s="44"/>
      <c r="L98" s="44"/>
      <c r="M98" s="44"/>
      <c r="N98" s="44"/>
      <c r="O98" s="46"/>
      <c r="P98" s="46"/>
      <c r="Q98" s="42"/>
      <c r="R98" s="47"/>
      <c r="S98" s="44"/>
      <c r="T98" s="44"/>
      <c r="U98" s="44"/>
      <c r="V98" s="42"/>
      <c r="W98" s="44"/>
      <c r="X98" s="44"/>
      <c r="Y98" s="42"/>
      <c r="Z98" s="44"/>
      <c r="AA98" s="44"/>
      <c r="AB98" s="42"/>
      <c r="AC98" s="44"/>
      <c r="AD98" s="45"/>
      <c r="AE98" s="45"/>
      <c r="AF98" s="45"/>
      <c r="AG98" s="42"/>
      <c r="AH98" s="42"/>
      <c r="AI98" s="42"/>
      <c r="AJ98" s="57"/>
      <c r="AK98" s="42"/>
      <c r="AL98" s="2"/>
      <c r="AM98" s="2"/>
      <c r="AN98" s="2"/>
      <c r="AO98" s="2"/>
      <c r="AP98" s="2"/>
      <c r="AQ98" s="2"/>
    </row>
    <row r="99" spans="1:43" x14ac:dyDescent="0.3">
      <c r="A99" s="3"/>
      <c r="B99" s="2"/>
      <c r="C99" s="19"/>
      <c r="D99" s="19"/>
      <c r="E99" s="19"/>
      <c r="F99" s="19"/>
      <c r="G99" s="19"/>
      <c r="H99" s="19"/>
      <c r="I99" s="19"/>
      <c r="J99" s="19"/>
      <c r="K99" s="44"/>
      <c r="L99" s="44"/>
      <c r="M99" s="44"/>
      <c r="N99" s="44"/>
      <c r="O99" s="46"/>
      <c r="P99" s="46"/>
      <c r="Q99" s="42"/>
      <c r="R99" s="47"/>
      <c r="S99" s="44"/>
      <c r="T99" s="44"/>
      <c r="U99" s="44"/>
      <c r="V99" s="42"/>
      <c r="W99" s="44"/>
      <c r="X99" s="44"/>
      <c r="Y99" s="42"/>
      <c r="Z99" s="44"/>
      <c r="AA99" s="44"/>
      <c r="AB99" s="42"/>
      <c r="AC99" s="44"/>
      <c r="AD99" s="45"/>
      <c r="AE99" s="45"/>
      <c r="AF99" s="45"/>
      <c r="AG99" s="42"/>
      <c r="AH99" s="42"/>
      <c r="AI99" s="42"/>
      <c r="AJ99" s="57"/>
      <c r="AK99" s="42"/>
      <c r="AL99" s="2"/>
      <c r="AM99" s="2"/>
      <c r="AN99" s="2"/>
      <c r="AO99" s="2"/>
      <c r="AP99" s="2"/>
      <c r="AQ99" s="2"/>
    </row>
    <row r="100" spans="1:43" x14ac:dyDescent="0.3">
      <c r="A100" s="3"/>
      <c r="B100" s="2"/>
      <c r="C100" s="19"/>
      <c r="D100" s="19"/>
      <c r="E100" s="19"/>
      <c r="F100" s="19"/>
      <c r="G100" s="19"/>
      <c r="H100" s="19"/>
      <c r="I100" s="19"/>
      <c r="J100" s="19"/>
      <c r="K100" s="44"/>
      <c r="L100" s="44"/>
      <c r="M100" s="44"/>
      <c r="N100" s="44"/>
      <c r="O100" s="46"/>
      <c r="P100" s="46"/>
      <c r="Q100" s="42"/>
      <c r="R100" s="47"/>
      <c r="S100" s="44"/>
      <c r="T100" s="44"/>
      <c r="U100" s="44"/>
      <c r="V100" s="42"/>
      <c r="W100" s="44"/>
      <c r="X100" s="44"/>
      <c r="Y100" s="42"/>
      <c r="Z100" s="44"/>
      <c r="AA100" s="44"/>
      <c r="AB100" s="42"/>
      <c r="AC100" s="44"/>
      <c r="AD100" s="45"/>
      <c r="AE100" s="45"/>
      <c r="AF100" s="45"/>
      <c r="AG100" s="42"/>
      <c r="AH100" s="42"/>
      <c r="AI100" s="42"/>
      <c r="AJ100" s="57"/>
      <c r="AK100" s="42"/>
      <c r="AL100" s="2"/>
      <c r="AM100" s="2"/>
      <c r="AN100" s="2"/>
      <c r="AO100" s="2"/>
      <c r="AP100" s="2"/>
      <c r="AQ100" s="2"/>
    </row>
    <row r="101" spans="1:43" x14ac:dyDescent="0.3">
      <c r="A101" s="3"/>
      <c r="B101" s="2"/>
      <c r="C101" s="19"/>
      <c r="D101" s="19"/>
      <c r="E101" s="19"/>
      <c r="F101" s="19"/>
      <c r="G101" s="19"/>
      <c r="H101" s="19"/>
      <c r="I101" s="19"/>
      <c r="J101" s="19"/>
      <c r="K101" s="44"/>
      <c r="L101" s="44"/>
      <c r="M101" s="44"/>
      <c r="N101" s="44"/>
      <c r="O101" s="46"/>
      <c r="P101" s="46"/>
      <c r="Q101" s="42"/>
      <c r="R101" s="47"/>
      <c r="S101" s="44"/>
      <c r="T101" s="44"/>
      <c r="U101" s="44"/>
      <c r="V101" s="42"/>
      <c r="W101" s="44"/>
      <c r="X101" s="44"/>
      <c r="Y101" s="42"/>
      <c r="Z101" s="44"/>
      <c r="AA101" s="44"/>
      <c r="AB101" s="42"/>
      <c r="AC101" s="44"/>
      <c r="AD101" s="45"/>
      <c r="AE101" s="45"/>
      <c r="AF101" s="45"/>
      <c r="AG101" s="42"/>
      <c r="AH101" s="42"/>
      <c r="AI101" s="42"/>
      <c r="AJ101" s="57"/>
      <c r="AK101" s="42"/>
      <c r="AL101" s="2"/>
      <c r="AM101" s="2"/>
      <c r="AN101" s="2"/>
      <c r="AO101" s="2"/>
      <c r="AP101" s="2"/>
      <c r="AQ101" s="2"/>
    </row>
    <row r="102" spans="1:43" x14ac:dyDescent="0.3">
      <c r="A102" s="3"/>
      <c r="B102" s="2"/>
      <c r="C102" s="19"/>
      <c r="D102" s="19"/>
      <c r="E102" s="19"/>
      <c r="F102" s="19"/>
      <c r="G102" s="19"/>
      <c r="H102" s="19"/>
      <c r="I102" s="19"/>
      <c r="J102" s="19"/>
      <c r="K102" s="20"/>
      <c r="L102" s="20"/>
      <c r="M102" s="20"/>
      <c r="N102" s="20"/>
      <c r="O102" s="19"/>
      <c r="P102" s="19"/>
      <c r="Q102" s="2"/>
      <c r="R102" s="31"/>
      <c r="S102" s="20"/>
      <c r="T102" s="20"/>
      <c r="U102" s="20"/>
      <c r="V102" s="2"/>
      <c r="W102" s="20"/>
      <c r="X102" s="20"/>
      <c r="Y102" s="2"/>
      <c r="Z102" s="20"/>
      <c r="AA102" s="20"/>
      <c r="AB102" s="2"/>
      <c r="AC102" s="20"/>
      <c r="AD102" s="21"/>
      <c r="AE102" s="21"/>
      <c r="AF102" s="21"/>
      <c r="AG102" s="2"/>
      <c r="AH102" s="2"/>
      <c r="AI102" s="2"/>
      <c r="AJ102" s="28"/>
      <c r="AK102" s="2"/>
      <c r="AL102" s="2"/>
      <c r="AM102" s="2"/>
      <c r="AN102" s="2"/>
      <c r="AO102" s="2"/>
      <c r="AP102" s="2"/>
      <c r="AQ102" s="2"/>
    </row>
    <row r="103" spans="1:43" x14ac:dyDescent="0.3">
      <c r="A103" s="3"/>
      <c r="B103" s="2"/>
      <c r="C103" s="19"/>
      <c r="D103" s="19"/>
      <c r="E103" s="19"/>
      <c r="F103" s="19"/>
      <c r="G103" s="19"/>
      <c r="H103" s="19"/>
      <c r="I103" s="19"/>
      <c r="J103" s="19"/>
      <c r="K103" s="20"/>
      <c r="L103" s="20"/>
      <c r="M103" s="20"/>
      <c r="N103" s="20"/>
      <c r="O103" s="19"/>
      <c r="P103" s="19"/>
      <c r="Q103" s="2"/>
      <c r="R103" s="31"/>
      <c r="S103" s="20"/>
      <c r="T103" s="20"/>
      <c r="U103" s="20"/>
      <c r="V103" s="2"/>
      <c r="W103" s="20"/>
      <c r="X103" s="20"/>
      <c r="Y103" s="2"/>
      <c r="Z103" s="20"/>
      <c r="AA103" s="20"/>
      <c r="AB103" s="2"/>
      <c r="AC103" s="20"/>
      <c r="AD103" s="21"/>
      <c r="AE103" s="21"/>
      <c r="AF103" s="21"/>
      <c r="AG103" s="2"/>
      <c r="AH103" s="2"/>
      <c r="AI103" s="2"/>
      <c r="AJ103" s="28"/>
      <c r="AK103" s="2"/>
      <c r="AL103" s="2"/>
      <c r="AM103" s="2"/>
      <c r="AN103" s="2"/>
      <c r="AO103" s="2"/>
      <c r="AP103" s="2"/>
      <c r="AQ103" s="2"/>
    </row>
    <row r="104" spans="1:43" x14ac:dyDescent="0.3">
      <c r="A104" s="3"/>
      <c r="B104" s="2"/>
      <c r="C104" s="19"/>
      <c r="D104" s="19"/>
      <c r="E104" s="19"/>
      <c r="F104" s="19"/>
      <c r="G104" s="19"/>
      <c r="H104" s="19"/>
      <c r="I104" s="19"/>
      <c r="J104" s="19"/>
      <c r="K104" s="20"/>
      <c r="L104" s="20"/>
      <c r="M104" s="20"/>
      <c r="N104" s="20"/>
      <c r="O104" s="19"/>
      <c r="P104" s="19"/>
      <c r="Q104" s="2"/>
      <c r="R104" s="31"/>
      <c r="S104" s="20"/>
      <c r="T104" s="20"/>
      <c r="U104" s="20"/>
      <c r="V104" s="2"/>
      <c r="W104" s="20"/>
      <c r="X104" s="20"/>
      <c r="Y104" s="2"/>
      <c r="Z104" s="20"/>
      <c r="AA104" s="20"/>
      <c r="AB104" s="2"/>
      <c r="AC104" s="20"/>
      <c r="AD104" s="21"/>
      <c r="AE104" s="21"/>
      <c r="AF104" s="21"/>
      <c r="AG104" s="2"/>
      <c r="AH104" s="2"/>
      <c r="AI104" s="2"/>
      <c r="AJ104" s="28"/>
      <c r="AK104" s="2"/>
      <c r="AL104" s="2"/>
      <c r="AM104" s="2"/>
      <c r="AN104" s="2"/>
      <c r="AO104" s="2"/>
      <c r="AP104" s="2"/>
      <c r="AQ104" s="2"/>
    </row>
    <row r="105" spans="1:43" x14ac:dyDescent="0.3">
      <c r="B105" s="2"/>
      <c r="C105" s="19"/>
      <c r="D105" s="19"/>
      <c r="E105" s="19"/>
      <c r="F105" s="19"/>
      <c r="G105" s="19"/>
      <c r="H105" s="19"/>
      <c r="I105" s="19"/>
      <c r="J105" s="19"/>
      <c r="K105" s="20"/>
      <c r="L105" s="20"/>
      <c r="M105" s="20"/>
      <c r="N105" s="20"/>
      <c r="O105" s="19"/>
      <c r="P105" s="19"/>
      <c r="Q105" s="2"/>
      <c r="R105" s="31"/>
      <c r="S105" s="20"/>
      <c r="T105" s="20"/>
      <c r="U105" s="20"/>
      <c r="V105" s="2"/>
      <c r="W105" s="20"/>
      <c r="X105" s="20"/>
      <c r="Y105" s="2"/>
      <c r="Z105" s="20"/>
      <c r="AA105" s="20"/>
      <c r="AB105" s="2"/>
      <c r="AC105" s="20"/>
      <c r="AD105" s="21"/>
      <c r="AE105" s="21"/>
      <c r="AF105" s="21"/>
      <c r="AG105" s="2"/>
      <c r="AH105" s="2"/>
      <c r="AI105" s="2"/>
      <c r="AJ105" s="28"/>
      <c r="AK105" s="2"/>
      <c r="AL105" s="2"/>
      <c r="AM105" s="2"/>
      <c r="AN105" s="2"/>
      <c r="AO105" s="2"/>
      <c r="AP105" s="2"/>
      <c r="AQ105" s="2"/>
    </row>
    <row r="106" spans="1:43" x14ac:dyDescent="0.3">
      <c r="B106" s="2"/>
      <c r="C106" s="19"/>
      <c r="D106" s="19"/>
      <c r="E106" s="19"/>
      <c r="F106" s="19"/>
      <c r="G106" s="19"/>
      <c r="H106" s="19"/>
      <c r="I106" s="19"/>
      <c r="J106" s="19"/>
      <c r="K106" s="20"/>
      <c r="L106" s="20"/>
      <c r="M106" s="20"/>
      <c r="N106" s="20"/>
      <c r="O106" s="19"/>
      <c r="P106" s="19"/>
      <c r="Q106" s="2"/>
      <c r="R106" s="31"/>
      <c r="S106" s="20"/>
      <c r="T106" s="20"/>
      <c r="U106" s="20"/>
      <c r="V106" s="2"/>
      <c r="W106" s="20"/>
      <c r="X106" s="20"/>
      <c r="Y106" s="2"/>
      <c r="Z106" s="20"/>
      <c r="AA106" s="20"/>
      <c r="AB106" s="2"/>
      <c r="AC106" s="20"/>
      <c r="AD106" s="21"/>
      <c r="AE106" s="21"/>
      <c r="AF106" s="21"/>
      <c r="AG106" s="2"/>
      <c r="AH106" s="2"/>
      <c r="AI106" s="2"/>
      <c r="AJ106" s="28"/>
      <c r="AK106" s="2"/>
      <c r="AL106" s="2"/>
      <c r="AM106" s="2"/>
      <c r="AN106" s="2"/>
      <c r="AO106" s="2"/>
      <c r="AP106" s="2"/>
      <c r="AQ106" s="2"/>
    </row>
    <row r="107" spans="1:43" x14ac:dyDescent="0.3">
      <c r="B107" s="2"/>
      <c r="C107" s="19"/>
      <c r="D107" s="19"/>
      <c r="E107" s="19"/>
      <c r="F107" s="19"/>
      <c r="G107" s="19"/>
      <c r="H107" s="19"/>
      <c r="I107" s="19"/>
      <c r="J107" s="19"/>
      <c r="K107" s="20"/>
      <c r="L107" s="20"/>
      <c r="M107" s="20"/>
      <c r="N107" s="20"/>
      <c r="O107" s="19"/>
      <c r="P107" s="19"/>
      <c r="Q107" s="2"/>
      <c r="R107" s="31"/>
      <c r="S107" s="20"/>
      <c r="T107" s="20"/>
      <c r="U107" s="20"/>
      <c r="V107" s="2"/>
      <c r="W107" s="20"/>
      <c r="X107" s="20"/>
      <c r="Y107" s="2"/>
      <c r="Z107" s="20"/>
      <c r="AA107" s="20"/>
      <c r="AB107" s="2"/>
      <c r="AC107" s="20"/>
      <c r="AD107" s="21"/>
      <c r="AE107" s="21"/>
      <c r="AF107" s="21"/>
      <c r="AG107" s="2"/>
      <c r="AH107" s="2"/>
      <c r="AI107" s="2"/>
      <c r="AJ107" s="28"/>
      <c r="AK107" s="2"/>
      <c r="AL107" s="2"/>
      <c r="AM107" s="2"/>
      <c r="AN107" s="2"/>
      <c r="AO107" s="2"/>
      <c r="AP107" s="2"/>
      <c r="AQ107" s="2"/>
    </row>
    <row r="108" spans="1:43" x14ac:dyDescent="0.3">
      <c r="B108" s="2"/>
      <c r="C108" s="19"/>
      <c r="D108" s="19"/>
      <c r="E108" s="19"/>
      <c r="F108" s="19"/>
      <c r="G108" s="19"/>
      <c r="H108" s="19"/>
      <c r="I108" s="19"/>
      <c r="J108" s="19"/>
      <c r="K108" s="20"/>
      <c r="L108" s="20"/>
      <c r="M108" s="20"/>
      <c r="N108" s="20"/>
      <c r="O108" s="19"/>
      <c r="P108" s="19"/>
      <c r="Q108" s="2"/>
      <c r="R108" s="31"/>
      <c r="S108" s="20"/>
      <c r="T108" s="20"/>
      <c r="U108" s="20"/>
      <c r="V108" s="2"/>
      <c r="W108" s="20"/>
      <c r="X108" s="20"/>
      <c r="Y108" s="2"/>
      <c r="Z108" s="20"/>
      <c r="AA108" s="20"/>
      <c r="AB108" s="2"/>
      <c r="AC108" s="20"/>
      <c r="AD108" s="21"/>
      <c r="AE108" s="21"/>
      <c r="AF108" s="21"/>
      <c r="AG108" s="2"/>
      <c r="AH108" s="2"/>
      <c r="AI108" s="2"/>
      <c r="AJ108" s="28"/>
      <c r="AK108" s="2"/>
      <c r="AL108" s="2"/>
      <c r="AM108" s="2"/>
      <c r="AN108" s="2"/>
      <c r="AO108" s="2"/>
      <c r="AP108" s="2"/>
      <c r="AQ108" s="2"/>
    </row>
    <row r="109" spans="1:43" x14ac:dyDescent="0.3">
      <c r="B109" s="2"/>
      <c r="C109" s="19"/>
      <c r="D109" s="19"/>
      <c r="E109" s="19"/>
      <c r="F109" s="19"/>
      <c r="G109" s="19"/>
      <c r="H109" s="19"/>
      <c r="I109" s="19"/>
      <c r="J109" s="19"/>
      <c r="K109" s="20"/>
      <c r="L109" s="20"/>
      <c r="M109" s="20"/>
      <c r="N109" s="20"/>
      <c r="O109" s="19"/>
      <c r="P109" s="19"/>
      <c r="Q109" s="2"/>
      <c r="R109" s="31"/>
      <c r="S109" s="20"/>
      <c r="T109" s="20"/>
      <c r="U109" s="20"/>
      <c r="V109" s="2"/>
      <c r="W109" s="20"/>
      <c r="X109" s="20"/>
      <c r="Y109" s="2"/>
      <c r="Z109" s="20"/>
      <c r="AA109" s="20"/>
      <c r="AB109" s="2"/>
      <c r="AC109" s="20"/>
      <c r="AD109" s="21"/>
      <c r="AE109" s="21"/>
      <c r="AF109" s="21"/>
      <c r="AG109" s="2"/>
      <c r="AH109" s="2"/>
      <c r="AI109" s="2"/>
      <c r="AJ109" s="28"/>
      <c r="AK109" s="2"/>
      <c r="AL109" s="2"/>
      <c r="AM109" s="2"/>
      <c r="AN109" s="2"/>
      <c r="AO109" s="2"/>
      <c r="AP109" s="2"/>
      <c r="AQ109" s="2"/>
    </row>
  </sheetData>
  <mergeCells count="9">
    <mergeCell ref="AC3:AG3"/>
    <mergeCell ref="AH3:AI3"/>
    <mergeCell ref="AM3:AQ3"/>
    <mergeCell ref="AJ3:AL3"/>
    <mergeCell ref="B3:J3"/>
    <mergeCell ref="K3:Q3"/>
    <mergeCell ref="R3:V3"/>
    <mergeCell ref="Z3:AB3"/>
    <mergeCell ref="W3:Y3"/>
  </mergeCells>
  <dataValidations count="11">
    <dataValidation type="list" allowBlank="1" showInputMessage="1" showErrorMessage="1" sqref="P63:P67 O13:O109">
      <formula1>Time</formula1>
    </dataValidation>
    <dataValidation type="list" allowBlank="1" showInputMessage="1" showErrorMessage="1" sqref="P68:P109 P13:P62">
      <formula1>Income_loss</formula1>
    </dataValidation>
    <dataValidation type="list" allowBlank="1" showInputMessage="1" showErrorMessage="1" sqref="C13:C109">
      <formula1>Age</formula1>
    </dataValidation>
    <dataValidation type="list" allowBlank="1" showInputMessage="1" showErrorMessage="1" sqref="D5:D109">
      <formula1>Gender</formula1>
    </dataValidation>
    <dataValidation type="list" allowBlank="1" showInputMessage="1" showErrorMessage="1" sqref="E5:E109">
      <formula1>Membership</formula1>
    </dataValidation>
    <dataValidation type="list" allowBlank="1" showInputMessage="1" showErrorMessage="1" sqref="F13:F109">
      <formula1>New_member</formula1>
    </dataValidation>
    <dataValidation type="list" allowBlank="1" showInputMessage="1" showErrorMessage="1" sqref="G13:G109">
      <formula1>Disability</formula1>
    </dataValidation>
    <dataValidation type="list" allowBlank="1" showInputMessage="1" showErrorMessage="1" sqref="I13:I109">
      <formula1>WEDTF</formula1>
    </dataValidation>
    <dataValidation type="list" allowBlank="1" showInputMessage="1" showErrorMessage="1" sqref="J13:J109">
      <formula1>Phase</formula1>
    </dataValidation>
    <dataValidation type="list" allowBlank="1" showInputMessage="1" showErrorMessage="1" sqref="R13:R109">
      <formula1>Group_rating</formula1>
    </dataValidation>
    <dataValidation type="list" allowBlank="1" showInputMessage="1" showErrorMessage="1" sqref="H5:H141">
      <formula1>NEWNAMES</formula1>
    </dataValidation>
  </dataValidation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34"/>
  <sheetViews>
    <sheetView workbookViewId="0">
      <pane xSplit="1" ySplit="4" topLeftCell="B5" activePane="bottomRight" state="frozen"/>
      <selection pane="topRight" activeCell="B1" sqref="B1"/>
      <selection pane="bottomLeft" activeCell="A5" sqref="A5"/>
      <selection pane="bottomRight" activeCell="B39" sqref="B39"/>
    </sheetView>
  </sheetViews>
  <sheetFormatPr defaultRowHeight="14.4" x14ac:dyDescent="0.3"/>
  <cols>
    <col min="2" max="2" width="47.109375" customWidth="1"/>
    <col min="4" max="4" width="17.88671875" customWidth="1"/>
    <col min="5" max="5" width="15.33203125" customWidth="1"/>
    <col min="9" max="9" width="14.5546875" customWidth="1"/>
    <col min="10" max="10" width="18.44140625" customWidth="1"/>
  </cols>
  <sheetData>
    <row r="1" spans="1:10" x14ac:dyDescent="0.3">
      <c r="A1" s="5" t="s">
        <v>62</v>
      </c>
      <c r="D1" s="141" t="s">
        <v>355</v>
      </c>
    </row>
    <row r="3" spans="1:10" x14ac:dyDescent="0.3">
      <c r="A3" s="398" t="s">
        <v>15</v>
      </c>
      <c r="B3" s="396" t="s">
        <v>25</v>
      </c>
      <c r="C3" s="396"/>
      <c r="D3" s="396"/>
      <c r="E3" s="396"/>
      <c r="F3" s="396"/>
      <c r="G3" s="8" t="s">
        <v>66</v>
      </c>
      <c r="H3" s="8"/>
      <c r="I3" s="8"/>
      <c r="J3" s="8"/>
    </row>
    <row r="4" spans="1:10" s="26" customFormat="1" ht="105.75" customHeight="1" x14ac:dyDescent="0.3">
      <c r="A4" s="398"/>
      <c r="B4" s="24" t="s">
        <v>0</v>
      </c>
      <c r="C4" s="24" t="s">
        <v>2</v>
      </c>
      <c r="D4" s="24" t="s">
        <v>11</v>
      </c>
      <c r="E4" s="24" t="s">
        <v>14</v>
      </c>
      <c r="F4" s="24" t="s">
        <v>3</v>
      </c>
      <c r="G4" s="25" t="s">
        <v>63</v>
      </c>
      <c r="H4" s="25" t="s">
        <v>64</v>
      </c>
      <c r="I4" s="25" t="s">
        <v>65</v>
      </c>
      <c r="J4" s="25" t="s">
        <v>9</v>
      </c>
    </row>
    <row r="5" spans="1:10" x14ac:dyDescent="0.3">
      <c r="A5" s="2">
        <v>1</v>
      </c>
      <c r="B5" s="12" t="s">
        <v>222</v>
      </c>
      <c r="C5" s="2" t="s">
        <v>76</v>
      </c>
      <c r="D5" s="12" t="s">
        <v>71</v>
      </c>
      <c r="E5" s="2" t="s">
        <v>177</v>
      </c>
      <c r="F5" s="2">
        <v>1</v>
      </c>
      <c r="G5" s="82">
        <v>1</v>
      </c>
      <c r="H5" s="82">
        <v>1</v>
      </c>
      <c r="I5" s="83" t="s">
        <v>252</v>
      </c>
      <c r="J5" s="12" t="s">
        <v>82</v>
      </c>
    </row>
    <row r="6" spans="1:10" x14ac:dyDescent="0.3">
      <c r="A6" s="2">
        <v>2</v>
      </c>
      <c r="B6" s="12" t="s">
        <v>223</v>
      </c>
      <c r="C6" s="12" t="s">
        <v>77</v>
      </c>
      <c r="D6" s="12" t="s">
        <v>71</v>
      </c>
      <c r="E6" s="12" t="s">
        <v>177</v>
      </c>
      <c r="F6" s="12">
        <v>1</v>
      </c>
      <c r="G6" s="82">
        <v>1</v>
      </c>
      <c r="H6" s="82">
        <v>1</v>
      </c>
      <c r="I6" s="83" t="s">
        <v>252</v>
      </c>
      <c r="J6" s="12" t="s">
        <v>82</v>
      </c>
    </row>
    <row r="7" spans="1:10" x14ac:dyDescent="0.3">
      <c r="A7" s="2">
        <v>3</v>
      </c>
      <c r="B7" s="12" t="s">
        <v>232</v>
      </c>
      <c r="C7" s="12" t="s">
        <v>77</v>
      </c>
      <c r="D7" s="12" t="s">
        <v>71</v>
      </c>
      <c r="E7" s="12" t="s">
        <v>177</v>
      </c>
      <c r="F7" s="12">
        <v>1</v>
      </c>
      <c r="G7" s="82">
        <v>1</v>
      </c>
      <c r="H7" s="82">
        <v>1</v>
      </c>
      <c r="I7" s="83" t="s">
        <v>252</v>
      </c>
      <c r="J7" s="12" t="s">
        <v>82</v>
      </c>
    </row>
    <row r="8" spans="1:10" x14ac:dyDescent="0.3">
      <c r="A8" s="2">
        <v>4</v>
      </c>
      <c r="B8" s="12" t="s">
        <v>224</v>
      </c>
      <c r="C8" s="12" t="s">
        <v>76</v>
      </c>
      <c r="D8" s="12" t="s">
        <v>71</v>
      </c>
      <c r="E8" s="12" t="s">
        <v>177</v>
      </c>
      <c r="F8" s="12">
        <v>1</v>
      </c>
      <c r="G8" s="82">
        <v>1</v>
      </c>
      <c r="H8" s="82">
        <v>1</v>
      </c>
      <c r="I8" s="83" t="s">
        <v>252</v>
      </c>
      <c r="J8" s="12" t="s">
        <v>82</v>
      </c>
    </row>
    <row r="9" spans="1:10" x14ac:dyDescent="0.3">
      <c r="A9" s="2">
        <v>5</v>
      </c>
      <c r="B9" s="12" t="s">
        <v>234</v>
      </c>
      <c r="C9" s="12" t="s">
        <v>77</v>
      </c>
      <c r="D9" s="12" t="s">
        <v>71</v>
      </c>
      <c r="E9" s="12" t="s">
        <v>177</v>
      </c>
      <c r="F9" s="12">
        <v>1</v>
      </c>
      <c r="G9" s="82">
        <v>1</v>
      </c>
      <c r="H9" s="82">
        <v>1</v>
      </c>
      <c r="I9" s="83" t="s">
        <v>252</v>
      </c>
      <c r="J9" s="12" t="s">
        <v>82</v>
      </c>
    </row>
    <row r="10" spans="1:10" x14ac:dyDescent="0.3">
      <c r="A10" s="2">
        <v>6</v>
      </c>
      <c r="B10" s="12" t="s">
        <v>225</v>
      </c>
      <c r="C10" s="12" t="s">
        <v>76</v>
      </c>
      <c r="D10" s="12" t="s">
        <v>71</v>
      </c>
      <c r="E10" s="12" t="s">
        <v>177</v>
      </c>
      <c r="F10" s="12">
        <v>1</v>
      </c>
      <c r="G10" s="82">
        <v>1</v>
      </c>
      <c r="H10" s="82">
        <v>1</v>
      </c>
      <c r="I10" s="83" t="s">
        <v>252</v>
      </c>
      <c r="J10" s="12" t="s">
        <v>82</v>
      </c>
    </row>
    <row r="11" spans="1:10" x14ac:dyDescent="0.3">
      <c r="A11" s="2">
        <v>7</v>
      </c>
      <c r="B11" s="12" t="s">
        <v>233</v>
      </c>
      <c r="C11" s="12" t="s">
        <v>77</v>
      </c>
      <c r="D11" s="12" t="s">
        <v>71</v>
      </c>
      <c r="E11" s="12" t="s">
        <v>177</v>
      </c>
      <c r="F11" s="12">
        <v>1</v>
      </c>
      <c r="G11" s="82">
        <v>1</v>
      </c>
      <c r="H11" s="82">
        <v>1</v>
      </c>
      <c r="I11" s="83" t="s">
        <v>252</v>
      </c>
      <c r="J11" s="12" t="s">
        <v>82</v>
      </c>
    </row>
    <row r="12" spans="1:10" x14ac:dyDescent="0.3">
      <c r="A12" s="2">
        <v>8</v>
      </c>
      <c r="B12" s="12" t="s">
        <v>228</v>
      </c>
      <c r="C12" s="12" t="s">
        <v>77</v>
      </c>
      <c r="D12" s="12" t="s">
        <v>71</v>
      </c>
      <c r="E12" s="12" t="s">
        <v>177</v>
      </c>
      <c r="F12" s="12">
        <v>1</v>
      </c>
      <c r="G12" s="82">
        <v>1</v>
      </c>
      <c r="H12" s="82">
        <v>1</v>
      </c>
      <c r="I12" s="83" t="s">
        <v>252</v>
      </c>
      <c r="J12" s="12" t="s">
        <v>82</v>
      </c>
    </row>
    <row r="13" spans="1:10" x14ac:dyDescent="0.3">
      <c r="A13" s="2">
        <v>9</v>
      </c>
      <c r="B13" s="12" t="s">
        <v>226</v>
      </c>
      <c r="C13" s="12" t="s">
        <v>77</v>
      </c>
      <c r="D13" s="12" t="s">
        <v>71</v>
      </c>
      <c r="E13" s="12" t="s">
        <v>177</v>
      </c>
      <c r="F13" s="12">
        <v>1</v>
      </c>
      <c r="G13" s="82">
        <v>1</v>
      </c>
      <c r="H13" s="82">
        <v>1</v>
      </c>
      <c r="I13" s="83" t="s">
        <v>252</v>
      </c>
      <c r="J13" s="12" t="s">
        <v>82</v>
      </c>
    </row>
    <row r="14" spans="1:10" x14ac:dyDescent="0.3">
      <c r="A14" s="2">
        <v>10</v>
      </c>
      <c r="B14" s="12" t="s">
        <v>227</v>
      </c>
      <c r="C14" s="12" t="s">
        <v>77</v>
      </c>
      <c r="D14" s="12" t="s">
        <v>71</v>
      </c>
      <c r="E14" s="12" t="s">
        <v>177</v>
      </c>
      <c r="F14" s="12">
        <v>1</v>
      </c>
      <c r="G14" s="82">
        <v>1</v>
      </c>
      <c r="H14" s="82">
        <v>1</v>
      </c>
      <c r="I14" s="83" t="s">
        <v>252</v>
      </c>
      <c r="J14" s="12" t="s">
        <v>82</v>
      </c>
    </row>
    <row r="15" spans="1:10" x14ac:dyDescent="0.3">
      <c r="A15" s="2">
        <v>11</v>
      </c>
      <c r="B15" s="12" t="s">
        <v>229</v>
      </c>
      <c r="C15" s="12" t="s">
        <v>77</v>
      </c>
      <c r="D15" s="12" t="s">
        <v>71</v>
      </c>
      <c r="E15" s="12" t="s">
        <v>177</v>
      </c>
      <c r="F15" s="12">
        <v>1</v>
      </c>
      <c r="G15" s="82">
        <v>1</v>
      </c>
      <c r="H15" s="82">
        <v>1</v>
      </c>
      <c r="I15" s="83" t="s">
        <v>252</v>
      </c>
      <c r="J15" s="12" t="s">
        <v>82</v>
      </c>
    </row>
    <row r="16" spans="1:10" x14ac:dyDescent="0.3">
      <c r="A16" s="2">
        <v>12</v>
      </c>
      <c r="B16" s="12" t="s">
        <v>230</v>
      </c>
      <c r="C16" s="12" t="s">
        <v>76</v>
      </c>
      <c r="D16" s="12" t="s">
        <v>71</v>
      </c>
      <c r="E16" s="12" t="s">
        <v>177</v>
      </c>
      <c r="F16" s="12">
        <v>1</v>
      </c>
      <c r="G16" s="82">
        <v>1</v>
      </c>
      <c r="H16" s="82">
        <v>1</v>
      </c>
      <c r="I16" s="83" t="s">
        <v>252</v>
      </c>
      <c r="J16" s="12" t="s">
        <v>82</v>
      </c>
    </row>
    <row r="17" spans="1:10" x14ac:dyDescent="0.3">
      <c r="A17" s="2">
        <v>13</v>
      </c>
      <c r="B17" s="12" t="s">
        <v>231</v>
      </c>
      <c r="C17" s="12" t="s">
        <v>77</v>
      </c>
      <c r="D17" s="12" t="s">
        <v>71</v>
      </c>
      <c r="E17" s="12" t="s">
        <v>177</v>
      </c>
      <c r="F17" s="12">
        <v>1</v>
      </c>
      <c r="G17" s="82">
        <v>1</v>
      </c>
      <c r="H17" s="82">
        <v>1</v>
      </c>
      <c r="I17" s="83" t="s">
        <v>252</v>
      </c>
      <c r="J17" s="12" t="s">
        <v>82</v>
      </c>
    </row>
    <row r="18" spans="1:10" x14ac:dyDescent="0.3">
      <c r="A18" s="2">
        <v>14</v>
      </c>
      <c r="B18" s="12" t="s">
        <v>235</v>
      </c>
      <c r="C18" s="12" t="s">
        <v>77</v>
      </c>
      <c r="D18" s="12" t="s">
        <v>71</v>
      </c>
      <c r="E18" s="12" t="s">
        <v>177</v>
      </c>
      <c r="F18" s="12">
        <v>1</v>
      </c>
      <c r="G18" s="82">
        <v>1</v>
      </c>
      <c r="H18" s="82">
        <v>1</v>
      </c>
      <c r="I18" s="83" t="s">
        <v>252</v>
      </c>
      <c r="J18" s="12" t="s">
        <v>82</v>
      </c>
    </row>
    <row r="19" spans="1:10" x14ac:dyDescent="0.3">
      <c r="A19" s="2">
        <v>15</v>
      </c>
      <c r="B19" s="12" t="s">
        <v>236</v>
      </c>
      <c r="C19" s="12" t="s">
        <v>76</v>
      </c>
      <c r="D19" s="12" t="s">
        <v>71</v>
      </c>
      <c r="E19" s="12" t="s">
        <v>177</v>
      </c>
      <c r="F19" s="12">
        <v>1</v>
      </c>
      <c r="G19" s="82">
        <v>1</v>
      </c>
      <c r="H19" s="82">
        <v>1</v>
      </c>
      <c r="I19" s="83" t="s">
        <v>252</v>
      </c>
      <c r="J19" s="12" t="s">
        <v>82</v>
      </c>
    </row>
    <row r="20" spans="1:10" x14ac:dyDescent="0.3">
      <c r="A20" s="2">
        <v>16</v>
      </c>
      <c r="B20" s="12" t="s">
        <v>237</v>
      </c>
      <c r="C20" s="12" t="s">
        <v>77</v>
      </c>
      <c r="D20" s="12" t="s">
        <v>71</v>
      </c>
      <c r="E20" s="12" t="s">
        <v>177</v>
      </c>
      <c r="F20" s="12">
        <v>1</v>
      </c>
      <c r="G20" s="82">
        <v>1</v>
      </c>
      <c r="H20" s="82">
        <v>1</v>
      </c>
      <c r="I20" s="83" t="s">
        <v>252</v>
      </c>
      <c r="J20" s="12" t="s">
        <v>82</v>
      </c>
    </row>
    <row r="21" spans="1:10" x14ac:dyDescent="0.3">
      <c r="A21" s="2">
        <v>17</v>
      </c>
      <c r="B21" s="12" t="s">
        <v>238</v>
      </c>
      <c r="C21" s="12" t="s">
        <v>76</v>
      </c>
      <c r="D21" s="12" t="s">
        <v>71</v>
      </c>
      <c r="E21" s="12" t="s">
        <v>67</v>
      </c>
      <c r="F21" s="12">
        <v>1</v>
      </c>
      <c r="G21" s="82">
        <v>1</v>
      </c>
      <c r="H21" s="82">
        <v>1</v>
      </c>
      <c r="I21" s="83" t="s">
        <v>253</v>
      </c>
      <c r="J21" s="12" t="s">
        <v>82</v>
      </c>
    </row>
    <row r="22" spans="1:10" x14ac:dyDescent="0.3">
      <c r="A22" s="2">
        <v>18</v>
      </c>
      <c r="B22" s="12" t="s">
        <v>239</v>
      </c>
      <c r="C22" s="12" t="s">
        <v>77</v>
      </c>
      <c r="D22" s="12" t="s">
        <v>71</v>
      </c>
      <c r="E22" s="12" t="s">
        <v>67</v>
      </c>
      <c r="F22" s="12">
        <v>1</v>
      </c>
      <c r="G22" s="82">
        <v>1</v>
      </c>
      <c r="H22" s="82">
        <v>1</v>
      </c>
      <c r="I22" s="83" t="s">
        <v>253</v>
      </c>
      <c r="J22" s="12" t="s">
        <v>82</v>
      </c>
    </row>
    <row r="23" spans="1:10" x14ac:dyDescent="0.3">
      <c r="A23" s="2">
        <v>19</v>
      </c>
      <c r="B23" s="12" t="s">
        <v>240</v>
      </c>
      <c r="C23" s="12" t="s">
        <v>76</v>
      </c>
      <c r="D23" s="12" t="s">
        <v>71</v>
      </c>
      <c r="E23" s="12" t="s">
        <v>67</v>
      </c>
      <c r="F23" s="12">
        <v>1</v>
      </c>
      <c r="G23" s="82">
        <v>1</v>
      </c>
      <c r="H23" s="82">
        <v>1</v>
      </c>
      <c r="I23" s="83" t="s">
        <v>253</v>
      </c>
      <c r="J23" s="12" t="s">
        <v>82</v>
      </c>
    </row>
    <row r="24" spans="1:10" x14ac:dyDescent="0.3">
      <c r="A24" s="2">
        <v>20</v>
      </c>
      <c r="B24" s="12" t="s">
        <v>241</v>
      </c>
      <c r="C24" s="12" t="s">
        <v>77</v>
      </c>
      <c r="D24" s="12" t="s">
        <v>71</v>
      </c>
      <c r="E24" s="12" t="s">
        <v>67</v>
      </c>
      <c r="F24" s="12">
        <v>1</v>
      </c>
      <c r="G24" s="82">
        <v>1</v>
      </c>
      <c r="H24" s="82">
        <v>1</v>
      </c>
      <c r="I24" s="83" t="s">
        <v>253</v>
      </c>
      <c r="J24" s="12" t="s">
        <v>82</v>
      </c>
    </row>
    <row r="25" spans="1:10" x14ac:dyDescent="0.3">
      <c r="A25" s="2">
        <v>21</v>
      </c>
      <c r="B25" s="12" t="s">
        <v>242</v>
      </c>
      <c r="C25" s="12" t="s">
        <v>77</v>
      </c>
      <c r="D25" s="12" t="s">
        <v>71</v>
      </c>
      <c r="E25" s="12" t="s">
        <v>67</v>
      </c>
      <c r="F25" s="12">
        <v>1</v>
      </c>
      <c r="G25" s="82">
        <v>1</v>
      </c>
      <c r="H25" s="82">
        <v>1</v>
      </c>
      <c r="I25" s="83" t="s">
        <v>253</v>
      </c>
      <c r="J25" s="12" t="s">
        <v>82</v>
      </c>
    </row>
    <row r="26" spans="1:10" x14ac:dyDescent="0.3">
      <c r="A26" s="2">
        <v>22</v>
      </c>
      <c r="B26" s="12" t="s">
        <v>243</v>
      </c>
      <c r="C26" s="12" t="s">
        <v>77</v>
      </c>
      <c r="D26" s="12" t="s">
        <v>71</v>
      </c>
      <c r="E26" s="12" t="s">
        <v>67</v>
      </c>
      <c r="F26" s="12">
        <v>1</v>
      </c>
      <c r="G26" s="82">
        <v>1</v>
      </c>
      <c r="H26" s="82">
        <v>1</v>
      </c>
      <c r="I26" s="83" t="s">
        <v>253</v>
      </c>
      <c r="J26" s="12" t="s">
        <v>82</v>
      </c>
    </row>
    <row r="27" spans="1:10" x14ac:dyDescent="0.3">
      <c r="A27" s="2">
        <v>23</v>
      </c>
      <c r="B27" s="12" t="s">
        <v>249</v>
      </c>
      <c r="C27" s="12" t="s">
        <v>76</v>
      </c>
      <c r="D27" s="12" t="s">
        <v>71</v>
      </c>
      <c r="E27" s="12" t="s">
        <v>68</v>
      </c>
      <c r="F27" s="12">
        <v>2</v>
      </c>
      <c r="G27" s="82">
        <v>1</v>
      </c>
      <c r="H27" s="82">
        <v>1</v>
      </c>
      <c r="I27" s="83" t="s">
        <v>254</v>
      </c>
      <c r="J27" s="12" t="s">
        <v>82</v>
      </c>
    </row>
    <row r="28" spans="1:10" x14ac:dyDescent="0.3">
      <c r="A28" s="2">
        <v>24</v>
      </c>
      <c r="B28" s="12" t="s">
        <v>250</v>
      </c>
      <c r="C28" s="12" t="s">
        <v>76</v>
      </c>
      <c r="D28" s="12" t="s">
        <v>71</v>
      </c>
      <c r="E28" s="12" t="s">
        <v>68</v>
      </c>
      <c r="F28" s="12">
        <v>2</v>
      </c>
      <c r="G28" s="82">
        <v>1</v>
      </c>
      <c r="H28" s="82">
        <v>1</v>
      </c>
      <c r="I28" s="83" t="s">
        <v>254</v>
      </c>
      <c r="J28" s="12" t="s">
        <v>82</v>
      </c>
    </row>
    <row r="29" spans="1:10" x14ac:dyDescent="0.3">
      <c r="A29" s="2">
        <v>25</v>
      </c>
      <c r="B29" s="12" t="s">
        <v>251</v>
      </c>
      <c r="C29" s="12" t="s">
        <v>76</v>
      </c>
      <c r="D29" s="12" t="s">
        <v>71</v>
      </c>
      <c r="E29" s="12" t="s">
        <v>68</v>
      </c>
      <c r="F29" s="12">
        <v>2</v>
      </c>
      <c r="G29" s="82">
        <v>1</v>
      </c>
      <c r="H29" s="82">
        <v>1</v>
      </c>
      <c r="I29" s="83" t="s">
        <v>254</v>
      </c>
      <c r="J29" s="12" t="s">
        <v>82</v>
      </c>
    </row>
    <row r="30" spans="1:10" x14ac:dyDescent="0.3">
      <c r="A30" s="2">
        <v>26</v>
      </c>
      <c r="B30" s="12" t="s">
        <v>244</v>
      </c>
      <c r="C30" s="12" t="s">
        <v>76</v>
      </c>
      <c r="D30" s="12" t="s">
        <v>71</v>
      </c>
      <c r="E30" s="12" t="s">
        <v>68</v>
      </c>
      <c r="F30" s="12">
        <v>2</v>
      </c>
      <c r="G30" s="82">
        <v>1</v>
      </c>
      <c r="H30" s="82">
        <v>1</v>
      </c>
      <c r="I30" s="83" t="s">
        <v>254</v>
      </c>
      <c r="J30" s="12" t="s">
        <v>82</v>
      </c>
    </row>
    <row r="31" spans="1:10" x14ac:dyDescent="0.3">
      <c r="A31" s="2">
        <v>27</v>
      </c>
      <c r="B31" s="12" t="s">
        <v>245</v>
      </c>
      <c r="C31" s="12" t="s">
        <v>76</v>
      </c>
      <c r="D31" s="12" t="s">
        <v>71</v>
      </c>
      <c r="E31" s="12" t="s">
        <v>176</v>
      </c>
      <c r="F31" s="12">
        <v>2</v>
      </c>
      <c r="G31" s="82">
        <v>1</v>
      </c>
      <c r="H31" s="82">
        <v>1</v>
      </c>
      <c r="I31" s="83" t="s">
        <v>255</v>
      </c>
      <c r="J31" s="12" t="s">
        <v>82</v>
      </c>
    </row>
    <row r="32" spans="1:10" x14ac:dyDescent="0.3">
      <c r="A32" s="2">
        <v>28</v>
      </c>
      <c r="B32" s="12" t="s">
        <v>246</v>
      </c>
      <c r="C32" s="12" t="s">
        <v>76</v>
      </c>
      <c r="D32" s="12" t="s">
        <v>71</v>
      </c>
      <c r="E32" s="12" t="s">
        <v>176</v>
      </c>
      <c r="F32" s="12">
        <v>2</v>
      </c>
      <c r="G32" s="82">
        <v>1</v>
      </c>
      <c r="H32" s="82">
        <v>1</v>
      </c>
      <c r="I32" s="83" t="s">
        <v>255</v>
      </c>
      <c r="J32" s="12" t="s">
        <v>82</v>
      </c>
    </row>
    <row r="33" spans="1:10" x14ac:dyDescent="0.3">
      <c r="A33" s="2">
        <v>29</v>
      </c>
      <c r="B33" s="12" t="s">
        <v>247</v>
      </c>
      <c r="C33" s="12" t="s">
        <v>77</v>
      </c>
      <c r="D33" s="12" t="s">
        <v>71</v>
      </c>
      <c r="E33" s="12" t="s">
        <v>175</v>
      </c>
      <c r="F33" s="12">
        <v>1</v>
      </c>
      <c r="G33" s="82">
        <v>1</v>
      </c>
      <c r="H33" s="82">
        <v>1</v>
      </c>
      <c r="I33" s="83" t="s">
        <v>256</v>
      </c>
      <c r="J33" s="12" t="s">
        <v>82</v>
      </c>
    </row>
    <row r="34" spans="1:10" x14ac:dyDescent="0.3">
      <c r="A34" s="2">
        <v>30</v>
      </c>
      <c r="B34" s="12" t="s">
        <v>248</v>
      </c>
      <c r="C34" s="12" t="s">
        <v>77</v>
      </c>
      <c r="D34" s="12" t="s">
        <v>71</v>
      </c>
      <c r="E34" s="12" t="s">
        <v>175</v>
      </c>
      <c r="F34" s="12">
        <v>1</v>
      </c>
      <c r="G34" s="82">
        <v>1</v>
      </c>
      <c r="H34" s="82">
        <v>1</v>
      </c>
      <c r="I34" s="83" t="s">
        <v>256</v>
      </c>
      <c r="J34" s="12" t="s">
        <v>82</v>
      </c>
    </row>
  </sheetData>
  <autoFilter ref="B4:J34"/>
  <mergeCells count="2">
    <mergeCell ref="A3:A4"/>
    <mergeCell ref="B3:F3"/>
  </mergeCells>
  <dataValidations count="5">
    <dataValidation type="list" allowBlank="1" showInputMessage="1" showErrorMessage="1" sqref="C5:C34">
      <formula1>Gender</formula1>
    </dataValidation>
    <dataValidation type="list" allowBlank="1" showInputMessage="1" showErrorMessage="1" sqref="D5:D34">
      <formula1>Membership</formula1>
    </dataValidation>
    <dataValidation type="list" allowBlank="1" showInputMessage="1" showErrorMessage="1" sqref="E5:E34">
      <formula1>NEWNAMES</formula1>
    </dataValidation>
    <dataValidation type="list" allowBlank="1" showInputMessage="1" showErrorMessage="1" sqref="F5:F34">
      <formula1>Phase</formula1>
    </dataValidation>
    <dataValidation type="list" allowBlank="1" showInputMessage="1" showErrorMessage="1" sqref="G5:H34">
      <formula1>Community_rating</formula1>
    </dataValidation>
  </dataValidations>
  <hyperlinks>
    <hyperlink ref="D1" location="MODEL!A1" display="Model"/>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C000"/>
  </sheetPr>
  <dimension ref="A1:C33"/>
  <sheetViews>
    <sheetView workbookViewId="0">
      <selection activeCell="C26" sqref="C26"/>
    </sheetView>
  </sheetViews>
  <sheetFormatPr defaultRowHeight="14.4" x14ac:dyDescent="0.3"/>
  <cols>
    <col min="2" max="2" width="43.109375" bestFit="1" customWidth="1"/>
    <col min="3" max="3" width="103.33203125" customWidth="1"/>
  </cols>
  <sheetData>
    <row r="1" spans="1:3" x14ac:dyDescent="0.3">
      <c r="A1" t="s">
        <v>340</v>
      </c>
    </row>
    <row r="3" spans="1:3" x14ac:dyDescent="0.3">
      <c r="B3" s="268" t="s">
        <v>14</v>
      </c>
      <c r="C3" s="267" t="s">
        <v>65</v>
      </c>
    </row>
    <row r="4" spans="1:3" ht="86.4" x14ac:dyDescent="0.3">
      <c r="B4" s="269" t="s">
        <v>177</v>
      </c>
      <c r="C4" s="269" t="s">
        <v>252</v>
      </c>
    </row>
    <row r="5" spans="1:3" hidden="1" x14ac:dyDescent="0.3">
      <c r="B5" s="12" t="s">
        <v>177</v>
      </c>
      <c r="C5" s="83" t="s">
        <v>252</v>
      </c>
    </row>
    <row r="6" spans="1:3" hidden="1" x14ac:dyDescent="0.3">
      <c r="B6" s="12" t="s">
        <v>177</v>
      </c>
      <c r="C6" s="83" t="s">
        <v>252</v>
      </c>
    </row>
    <row r="7" spans="1:3" hidden="1" x14ac:dyDescent="0.3">
      <c r="B7" s="12" t="s">
        <v>177</v>
      </c>
      <c r="C7" s="83" t="s">
        <v>252</v>
      </c>
    </row>
    <row r="8" spans="1:3" hidden="1" x14ac:dyDescent="0.3">
      <c r="B8" s="12" t="s">
        <v>177</v>
      </c>
      <c r="C8" s="83" t="s">
        <v>252</v>
      </c>
    </row>
    <row r="9" spans="1:3" hidden="1" x14ac:dyDescent="0.3">
      <c r="B9" s="12" t="s">
        <v>177</v>
      </c>
      <c r="C9" s="83" t="s">
        <v>252</v>
      </c>
    </row>
    <row r="10" spans="1:3" hidden="1" x14ac:dyDescent="0.3">
      <c r="B10" s="12" t="s">
        <v>177</v>
      </c>
      <c r="C10" s="83" t="s">
        <v>252</v>
      </c>
    </row>
    <row r="11" spans="1:3" hidden="1" x14ac:dyDescent="0.3">
      <c r="B11" s="12" t="s">
        <v>177</v>
      </c>
      <c r="C11" s="83" t="s">
        <v>252</v>
      </c>
    </row>
    <row r="12" spans="1:3" hidden="1" x14ac:dyDescent="0.3">
      <c r="B12" s="12" t="s">
        <v>177</v>
      </c>
      <c r="C12" s="83" t="s">
        <v>252</v>
      </c>
    </row>
    <row r="13" spans="1:3" hidden="1" x14ac:dyDescent="0.3">
      <c r="B13" s="12" t="s">
        <v>177</v>
      </c>
      <c r="C13" s="83" t="s">
        <v>252</v>
      </c>
    </row>
    <row r="14" spans="1:3" hidden="1" x14ac:dyDescent="0.3">
      <c r="B14" s="12" t="s">
        <v>177</v>
      </c>
      <c r="C14" s="83" t="s">
        <v>252</v>
      </c>
    </row>
    <row r="15" spans="1:3" hidden="1" x14ac:dyDescent="0.3">
      <c r="B15" s="12" t="s">
        <v>177</v>
      </c>
      <c r="C15" s="83" t="s">
        <v>252</v>
      </c>
    </row>
    <row r="16" spans="1:3" hidden="1" x14ac:dyDescent="0.3">
      <c r="B16" s="12" t="s">
        <v>177</v>
      </c>
      <c r="C16" s="83" t="s">
        <v>252</v>
      </c>
    </row>
    <row r="17" spans="2:3" hidden="1" x14ac:dyDescent="0.3">
      <c r="B17" s="12" t="s">
        <v>177</v>
      </c>
      <c r="C17" s="83" t="s">
        <v>252</v>
      </c>
    </row>
    <row r="18" spans="2:3" hidden="1" x14ac:dyDescent="0.3">
      <c r="B18" s="12" t="s">
        <v>177</v>
      </c>
      <c r="C18" s="83" t="s">
        <v>252</v>
      </c>
    </row>
    <row r="19" spans="2:3" hidden="1" x14ac:dyDescent="0.3">
      <c r="B19" s="12" t="s">
        <v>177</v>
      </c>
      <c r="C19" s="83" t="s">
        <v>252</v>
      </c>
    </row>
    <row r="20" spans="2:3" ht="57.6" x14ac:dyDescent="0.3">
      <c r="B20" s="269" t="s">
        <v>67</v>
      </c>
      <c r="C20" s="269" t="s">
        <v>253</v>
      </c>
    </row>
    <row r="21" spans="2:3" hidden="1" x14ac:dyDescent="0.3">
      <c r="B21" s="12" t="s">
        <v>67</v>
      </c>
      <c r="C21" s="83" t="s">
        <v>253</v>
      </c>
    </row>
    <row r="22" spans="2:3" hidden="1" x14ac:dyDescent="0.3">
      <c r="B22" s="12" t="s">
        <v>67</v>
      </c>
      <c r="C22" s="83" t="s">
        <v>253</v>
      </c>
    </row>
    <row r="23" spans="2:3" hidden="1" x14ac:dyDescent="0.3">
      <c r="B23" s="12" t="s">
        <v>67</v>
      </c>
      <c r="C23" s="83" t="s">
        <v>253</v>
      </c>
    </row>
    <row r="24" spans="2:3" hidden="1" x14ac:dyDescent="0.3">
      <c r="B24" s="12" t="s">
        <v>67</v>
      </c>
      <c r="C24" s="83" t="s">
        <v>253</v>
      </c>
    </row>
    <row r="25" spans="2:3" hidden="1" x14ac:dyDescent="0.3">
      <c r="B25" s="12" t="s">
        <v>67</v>
      </c>
      <c r="C25" s="83" t="s">
        <v>253</v>
      </c>
    </row>
    <row r="26" spans="2:3" ht="43.2" x14ac:dyDescent="0.3">
      <c r="B26" s="269" t="s">
        <v>68</v>
      </c>
      <c r="C26" s="269" t="s">
        <v>254</v>
      </c>
    </row>
    <row r="27" spans="2:3" hidden="1" x14ac:dyDescent="0.3">
      <c r="B27" s="12" t="s">
        <v>68</v>
      </c>
      <c r="C27" s="83" t="s">
        <v>254</v>
      </c>
    </row>
    <row r="28" spans="2:3" hidden="1" x14ac:dyDescent="0.3">
      <c r="B28" s="12" t="s">
        <v>68</v>
      </c>
      <c r="C28" s="83" t="s">
        <v>254</v>
      </c>
    </row>
    <row r="29" spans="2:3" hidden="1" x14ac:dyDescent="0.3">
      <c r="B29" s="12" t="s">
        <v>68</v>
      </c>
      <c r="C29" s="83" t="s">
        <v>254</v>
      </c>
    </row>
    <row r="30" spans="2:3" ht="43.2" x14ac:dyDescent="0.3">
      <c r="B30" s="269" t="s">
        <v>176</v>
      </c>
      <c r="C30" s="269" t="s">
        <v>255</v>
      </c>
    </row>
    <row r="31" spans="2:3" hidden="1" x14ac:dyDescent="0.3">
      <c r="B31" s="12" t="s">
        <v>176</v>
      </c>
      <c r="C31" s="83" t="s">
        <v>255</v>
      </c>
    </row>
    <row r="32" spans="2:3" ht="86.4" x14ac:dyDescent="0.3">
      <c r="B32" s="269" t="s">
        <v>175</v>
      </c>
      <c r="C32" s="269" t="s">
        <v>256</v>
      </c>
    </row>
    <row r="33" spans="2:3" hidden="1" x14ac:dyDescent="0.3">
      <c r="B33" s="124" t="s">
        <v>175</v>
      </c>
      <c r="C33" s="266" t="s">
        <v>256</v>
      </c>
    </row>
  </sheetData>
  <dataValidations count="1">
    <dataValidation type="list" allowBlank="1" showInputMessage="1" showErrorMessage="1" sqref="B4:B33">
      <formula1>NEWNAMES</formula1>
    </dataValidation>
  </dataValidations>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1:I10"/>
  <sheetViews>
    <sheetView workbookViewId="0">
      <pane xSplit="1" ySplit="4" topLeftCell="B5" activePane="bottomRight" state="frozen"/>
      <selection pane="topRight" activeCell="B1" sqref="B1"/>
      <selection pane="bottomLeft" activeCell="A5" sqref="A5"/>
      <selection pane="bottomRight" activeCell="D20" sqref="D20"/>
    </sheetView>
  </sheetViews>
  <sheetFormatPr defaultRowHeight="14.4" x14ac:dyDescent="0.3"/>
  <cols>
    <col min="2" max="3" width="26.33203125" customWidth="1"/>
    <col min="4" max="4" width="27.5546875" bestFit="1" customWidth="1"/>
    <col min="6" max="6" width="25.109375" customWidth="1"/>
    <col min="7" max="7" width="21.44140625" bestFit="1" customWidth="1"/>
    <col min="8" max="8" width="23.33203125" bestFit="1" customWidth="1"/>
    <col min="9" max="9" width="29.44140625" customWidth="1"/>
  </cols>
  <sheetData>
    <row r="1" spans="1:9" x14ac:dyDescent="0.3">
      <c r="A1" s="5" t="s">
        <v>54</v>
      </c>
    </row>
    <row r="3" spans="1:9" x14ac:dyDescent="0.3">
      <c r="A3" s="397" t="s">
        <v>15</v>
      </c>
      <c r="B3" s="396" t="s">
        <v>55</v>
      </c>
      <c r="C3" s="396"/>
      <c r="D3" s="396"/>
      <c r="E3" s="396"/>
      <c r="F3" s="396"/>
      <c r="G3" s="396"/>
      <c r="H3" s="397" t="s">
        <v>58</v>
      </c>
      <c r="I3" s="397"/>
    </row>
    <row r="4" spans="1:9" ht="48.75" customHeight="1" x14ac:dyDescent="0.3">
      <c r="A4" s="397"/>
      <c r="B4" s="6" t="s">
        <v>0</v>
      </c>
      <c r="C4" s="6" t="s">
        <v>8</v>
      </c>
      <c r="D4" s="6" t="s">
        <v>56</v>
      </c>
      <c r="E4" s="6" t="s">
        <v>3</v>
      </c>
      <c r="F4" s="6" t="s">
        <v>57</v>
      </c>
      <c r="G4" s="27" t="s">
        <v>98</v>
      </c>
      <c r="H4" s="7" t="s">
        <v>59</v>
      </c>
      <c r="I4" s="7" t="s">
        <v>9</v>
      </c>
    </row>
    <row r="5" spans="1:9" x14ac:dyDescent="0.3">
      <c r="A5" s="2">
        <v>1</v>
      </c>
      <c r="B5" s="12" t="s">
        <v>151</v>
      </c>
      <c r="C5" s="19" t="s">
        <v>88</v>
      </c>
      <c r="D5" s="63">
        <v>41609</v>
      </c>
      <c r="E5" s="19">
        <v>2</v>
      </c>
      <c r="F5" s="19" t="s">
        <v>174</v>
      </c>
      <c r="G5" s="12" t="s">
        <v>152</v>
      </c>
      <c r="H5" s="70" t="s">
        <v>150</v>
      </c>
      <c r="I5" s="12" t="s">
        <v>82</v>
      </c>
    </row>
    <row r="6" spans="1:9" x14ac:dyDescent="0.3">
      <c r="A6" s="2">
        <v>2</v>
      </c>
      <c r="B6" s="12" t="s">
        <v>155</v>
      </c>
      <c r="C6" s="19" t="s">
        <v>87</v>
      </c>
      <c r="D6" s="62" t="s">
        <v>153</v>
      </c>
      <c r="E6" s="19">
        <v>1</v>
      </c>
      <c r="F6" s="19" t="s">
        <v>174</v>
      </c>
      <c r="G6" s="12" t="s">
        <v>154</v>
      </c>
      <c r="H6" s="69" t="s">
        <v>219</v>
      </c>
      <c r="I6" s="12" t="s">
        <v>82</v>
      </c>
    </row>
    <row r="7" spans="1:9" x14ac:dyDescent="0.3">
      <c r="A7" s="2">
        <v>3</v>
      </c>
      <c r="B7" s="2"/>
      <c r="C7" s="19"/>
      <c r="D7" s="2"/>
      <c r="E7" s="19"/>
      <c r="F7" s="19"/>
      <c r="G7" s="2"/>
      <c r="H7" s="2"/>
      <c r="I7" s="2"/>
    </row>
    <row r="8" spans="1:9" x14ac:dyDescent="0.3">
      <c r="A8" s="2">
        <v>4</v>
      </c>
      <c r="B8" s="2"/>
      <c r="C8" s="19"/>
      <c r="D8" s="2"/>
      <c r="E8" s="19"/>
      <c r="F8" s="19"/>
      <c r="G8" s="2"/>
      <c r="H8" s="2"/>
      <c r="I8" s="2"/>
    </row>
    <row r="9" spans="1:9" x14ac:dyDescent="0.3">
      <c r="A9" s="2">
        <v>5</v>
      </c>
      <c r="B9" s="2"/>
      <c r="C9" s="19"/>
      <c r="D9" s="2"/>
      <c r="E9" s="19"/>
      <c r="F9" s="19"/>
      <c r="G9" s="2"/>
      <c r="H9" s="2"/>
      <c r="I9" s="2"/>
    </row>
    <row r="10" spans="1:9" x14ac:dyDescent="0.3">
      <c r="A10" s="2">
        <v>6</v>
      </c>
      <c r="B10" s="2"/>
      <c r="C10" s="19"/>
      <c r="D10" s="2"/>
      <c r="E10" s="19"/>
      <c r="F10" s="19"/>
      <c r="G10" s="2"/>
      <c r="H10" s="2"/>
      <c r="I10" s="2"/>
    </row>
  </sheetData>
  <mergeCells count="3">
    <mergeCell ref="H3:I3"/>
    <mergeCell ref="B3:G3"/>
    <mergeCell ref="A3:A4"/>
  </mergeCells>
  <dataValidations count="3">
    <dataValidation type="list" allowBlank="1" showInputMessage="1" showErrorMessage="1" sqref="E5:E10">
      <formula1>Phase</formula1>
    </dataValidation>
    <dataValidation type="list" allowBlank="1" showInputMessage="1" showErrorMessage="1" sqref="F5:F10">
      <formula1>Engagement_mode</formula1>
    </dataValidation>
    <dataValidation type="list" allowBlank="1" showInputMessage="1" showErrorMessage="1" sqref="C5:C10">
      <formula1>Location</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MODEL</vt:lpstr>
      <vt:lpstr>Data &amp; assumptions</vt:lpstr>
      <vt:lpstr>FARMER  </vt:lpstr>
      <vt:lpstr>Group cohesion analysis</vt:lpstr>
      <vt:lpstr>Counterfactuals</vt:lpstr>
      <vt:lpstr>Farmer outcomes </vt:lpstr>
      <vt:lpstr>COMMUNITY</vt:lpstr>
      <vt:lpstr>Explanation</vt:lpstr>
      <vt:lpstr>HOTEL</vt:lpstr>
      <vt:lpstr>TRADER </vt:lpstr>
      <vt:lpstr>Drop down values</vt:lpstr>
      <vt:lpstr>Age</vt:lpstr>
      <vt:lpstr>Community_rating</vt:lpstr>
      <vt:lpstr>Disability</vt:lpstr>
      <vt:lpstr>Engagement_mode</vt:lpstr>
      <vt:lpstr>Full_groups</vt:lpstr>
      <vt:lpstr>Gender</vt:lpstr>
      <vt:lpstr>Group_rating</vt:lpstr>
      <vt:lpstr>Income_loss</vt:lpstr>
      <vt:lpstr>Location</vt:lpstr>
      <vt:lpstr>Member_no</vt:lpstr>
      <vt:lpstr>Membership</vt:lpstr>
      <vt:lpstr>Names</vt:lpstr>
      <vt:lpstr>New_member</vt:lpstr>
      <vt:lpstr>NEWNAMES</vt:lpstr>
      <vt:lpstr>Phase</vt:lpstr>
      <vt:lpstr>School_type</vt:lpstr>
      <vt:lpstr>Time</vt:lpstr>
      <vt:lpstr>Trader_location</vt:lpstr>
      <vt:lpstr>WEDTF</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2015-07-21T08:38:37Z</dcterms:modified>
</cp:coreProperties>
</file>